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l.boeringa\Documents\Financieel plan\"/>
    </mc:Choice>
  </mc:AlternateContent>
  <xr:revisionPtr revIDLastSave="0" documentId="13_ncr:1_{4DD955FE-0F05-48BD-A7D3-E98C55A078ED}" xr6:coauthVersionLast="47" xr6:coauthVersionMax="47" xr10:uidLastSave="{00000000-0000-0000-0000-000000000000}"/>
  <workbookProtection workbookAlgorithmName="SHA-512" workbookHashValue="qRpewQYs11y1qPU9VJULPGS9kLws/dDKzDz0VyCuoDL67h+RGWdjIH1XKHluXjNsgsqmarNoxcffcOslT6UI/A==" workbookSaltValue="pdLnaQorMt48QJdNUcRUWQ==" workbookSpinCount="100000" lockStructure="1"/>
  <bookViews>
    <workbookView xWindow="28680" yWindow="-120" windowWidth="29040" windowHeight="15840" tabRatio="637" xr2:uid="{00000000-000D-0000-FFFF-FFFF00000000}"/>
  </bookViews>
  <sheets>
    <sheet name="Intro" sheetId="23" r:id="rId1"/>
    <sheet name="Intro_oud" sheetId="1" state="hidden" r:id="rId2"/>
    <sheet name="VRAGENLIJST" sheetId="6" r:id="rId3"/>
    <sheet name="Investering &amp; Financiering" sheetId="2" r:id="rId4"/>
    <sheet name="Liquiditeit" sheetId="3" r:id="rId5"/>
    <sheet name="Exploitatie" sheetId="4" r:id="rId6"/>
    <sheet name="Qredits maandlasten" sheetId="5" r:id="rId7"/>
    <sheet name="Uitleg aftrekposten" sheetId="20" r:id="rId8"/>
    <sheet name="Vertaling" sheetId="22" state="hidden" r:id="rId9"/>
    <sheet name="Schema" sheetId="21" state="hidden" r:id="rId10"/>
    <sheet name="dropdowns" sheetId="18" state="hidden" r:id="rId11"/>
    <sheet name="IB VPB" sheetId="19" state="hidden" r:id="rId12"/>
  </sheets>
  <definedNames>
    <definedName name="_xlnm._FilterDatabase" localSheetId="8" hidden="1">Vertaling!$A$1:$E$323</definedName>
    <definedName name="_xlnm.Print_Area" localSheetId="5">Exploitatie!$A$1:$H$45</definedName>
    <definedName name="_xlnm.Print_Area" localSheetId="0">Intro!$A$1:$C$21</definedName>
    <definedName name="_xlnm.Print_Area" localSheetId="1">Intro_oud!$A$1:$C$26</definedName>
    <definedName name="_xlnm.Print_Area" localSheetId="3">'Investering &amp; Financiering'!$A$1:$I$29</definedName>
    <definedName name="_xlnm.Print_Area" localSheetId="4">Liquiditeit!$A$1:$Q$47</definedName>
    <definedName name="_xlnm.Print_Area" localSheetId="6">'Qredits maandlasten'!$A$1:$P$77</definedName>
    <definedName name="_xlnm.Print_Area" localSheetId="7">'Uitleg aftrekposten'!$A$1:$A$15</definedName>
    <definedName name="_xlnm.Print_Area" localSheetId="2">VRAGENLIJST!$A$1:$G$238</definedName>
    <definedName name="_xlnm.Print_Titles" localSheetId="6">'Qredits maandlasten'!$1:$1</definedName>
    <definedName name="_xlnm.Print_Titles" localSheetId="2">VRAGENLIJST!$1:$1</definedName>
    <definedName name="Aflosmethode">dropdowns!$A$92:$A$93</definedName>
    <definedName name="ANNUITEITBEDRAG">OFFSET('Qredits maandlasten'!$B$17,0,'Qredits maandlasten'!$C$11,2,1)</definedName>
    <definedName name="Betalen">dropdowns!$A$44:$A$48</definedName>
    <definedName name="BTW">dropdowns!$A$52:$A$54</definedName>
    <definedName name="Cashflow_met_kosten">OFFSET(Schema!$M$9,0,0,'Qredits maandlasten'!$C$4+1,1)</definedName>
    <definedName name="Cashflow_zonder_kosten">OFFSET(Schema!$L$9,0,0,'Qredits maandlasten'!$C$4+1,1)</definedName>
    <definedName name="Datums">OFFSET(Schema!$C$9,0,0,'Qredits maandlasten'!$C$4+1,1)</definedName>
    <definedName name="Graceperiod">dropdowns!$A$32:$A$40</definedName>
    <definedName name="Inbreng">dropdowns!$A$28:$A$29</definedName>
    <definedName name="Ja_Nee">dropdowns!$A$24:$A$25</definedName>
    <definedName name="Looptijd">dropdowns!$A$65:$A$74</definedName>
    <definedName name="Maanden6">dropdowns!$A$77:$A$83</definedName>
    <definedName name="Meewerkaftrek">dropdowns!$A$57:$A$62</definedName>
    <definedName name="Ondernemers">dropdowns!$A$9:$A$11</definedName>
    <definedName name="Periodiek">dropdowns!#REF!</definedName>
    <definedName name="Periodiek2">dropdowns!#REF!</definedName>
    <definedName name="Rechtsvorm">dropdowns!$A$4:$A$6</definedName>
    <definedName name="Select_your_language">Intro!$B$7</definedName>
    <definedName name="Uitkering">dropdowns!$A$14:$A$21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3" l="1"/>
  <c r="F31" i="3"/>
  <c r="G31" i="3"/>
  <c r="H31" i="3"/>
  <c r="I31" i="3"/>
  <c r="J31" i="3"/>
  <c r="K31" i="3"/>
  <c r="L31" i="3"/>
  <c r="M31" i="3"/>
  <c r="N31" i="3"/>
  <c r="O31" i="3"/>
  <c r="D31" i="3"/>
  <c r="C6" i="6"/>
  <c r="B6" i="6"/>
  <c r="E17" i="6"/>
  <c r="B17" i="6"/>
  <c r="O24" i="3"/>
  <c r="N24" i="3"/>
  <c r="M24" i="3"/>
  <c r="L24" i="3"/>
  <c r="K24" i="3"/>
  <c r="J24" i="3"/>
  <c r="I24" i="3"/>
  <c r="H24" i="3"/>
  <c r="G24" i="3"/>
  <c r="F24" i="3"/>
  <c r="E24" i="3"/>
  <c r="D24" i="3"/>
  <c r="O22" i="3"/>
  <c r="N22" i="3"/>
  <c r="M22" i="3"/>
  <c r="L22" i="3"/>
  <c r="K22" i="3"/>
  <c r="J22" i="3"/>
  <c r="I22" i="3"/>
  <c r="H22" i="3"/>
  <c r="G22" i="3"/>
  <c r="F22" i="3"/>
  <c r="E22" i="3"/>
  <c r="D22" i="3"/>
  <c r="D34" i="6" l="1"/>
  <c r="F34" i="6"/>
  <c r="M40" i="3" l="1"/>
  <c r="N40" i="3"/>
  <c r="O40" i="3"/>
  <c r="L40" i="3"/>
  <c r="J40" i="3"/>
  <c r="K40" i="3"/>
  <c r="E76" i="6" l="1"/>
  <c r="E74" i="6"/>
  <c r="E29" i="6"/>
  <c r="E27" i="6"/>
  <c r="B29" i="6"/>
  <c r="B27" i="6"/>
  <c r="A317" i="22"/>
  <c r="A17" i="20" s="1"/>
  <c r="H21" i="2" l="1"/>
  <c r="B68" i="6" l="1"/>
  <c r="A123" i="22"/>
  <c r="C162" i="6" s="1"/>
  <c r="E27" i="3"/>
  <c r="F27" i="3"/>
  <c r="G27" i="3"/>
  <c r="H27" i="3"/>
  <c r="I27" i="3"/>
  <c r="J27" i="3"/>
  <c r="K27" i="3"/>
  <c r="L27" i="3"/>
  <c r="M27" i="3"/>
  <c r="N27" i="3"/>
  <c r="O27" i="3"/>
  <c r="D27" i="3"/>
  <c r="A34" i="22"/>
  <c r="E15" i="6" s="1"/>
  <c r="A144" i="22"/>
  <c r="B230" i="6" s="1"/>
  <c r="A14" i="22"/>
  <c r="A15" i="22"/>
  <c r="A16" i="22"/>
  <c r="A17" i="22"/>
  <c r="A32" i="22"/>
  <c r="E6" i="6" s="1"/>
  <c r="F11" i="6"/>
  <c r="E19" i="6" l="1"/>
  <c r="E23" i="6"/>
  <c r="K64" i="19"/>
  <c r="L64" i="19"/>
  <c r="J64" i="19"/>
  <c r="K63" i="19"/>
  <c r="J63" i="19"/>
  <c r="L62" i="19"/>
  <c r="J62" i="19"/>
  <c r="J61" i="19"/>
  <c r="K59" i="19"/>
  <c r="L59" i="19"/>
  <c r="J59" i="19"/>
  <c r="K58" i="19"/>
  <c r="L58" i="19"/>
  <c r="J58" i="19"/>
  <c r="K57" i="19"/>
  <c r="J57" i="19"/>
  <c r="L56" i="19"/>
  <c r="J56" i="19"/>
  <c r="J55" i="19"/>
  <c r="F4" i="18" l="1"/>
  <c r="A316" i="22"/>
  <c r="A16" i="20" s="1"/>
  <c r="A315" i="22"/>
  <c r="A13" i="20" s="1"/>
  <c r="A314" i="22"/>
  <c r="A10" i="20" s="1"/>
  <c r="A313" i="22"/>
  <c r="A7" i="20" s="1"/>
  <c r="A312" i="22"/>
  <c r="A4" i="20" s="1"/>
  <c r="A311" i="22"/>
  <c r="A15" i="20" s="1"/>
  <c r="A310" i="22"/>
  <c r="A12" i="20" s="1"/>
  <c r="A309" i="22"/>
  <c r="E34" i="19"/>
  <c r="D34" i="19"/>
  <c r="E24" i="19"/>
  <c r="E25" i="19"/>
  <c r="D25" i="19"/>
  <c r="E20" i="19"/>
  <c r="D19" i="19"/>
  <c r="E19" i="19"/>
  <c r="D6" i="2" l="1"/>
  <c r="L9" i="19"/>
  <c r="O20" i="3"/>
  <c r="N20" i="3"/>
  <c r="M20" i="3"/>
  <c r="L20" i="3"/>
  <c r="K20" i="3"/>
  <c r="J20" i="3"/>
  <c r="I20" i="3"/>
  <c r="H20" i="3"/>
  <c r="G20" i="3"/>
  <c r="F20" i="3"/>
  <c r="E20" i="3"/>
  <c r="D20" i="3"/>
  <c r="C20" i="3"/>
  <c r="O19" i="3"/>
  <c r="N19" i="3"/>
  <c r="M19" i="3"/>
  <c r="L19" i="3"/>
  <c r="K19" i="3"/>
  <c r="J19" i="3"/>
  <c r="I19" i="3"/>
  <c r="H19" i="3"/>
  <c r="G19" i="3"/>
  <c r="F19" i="3"/>
  <c r="E19" i="3" l="1"/>
  <c r="D19" i="3"/>
  <c r="C19" i="3"/>
  <c r="O12" i="3"/>
  <c r="N12" i="3"/>
  <c r="M12" i="3"/>
  <c r="L12" i="3"/>
  <c r="K12" i="3"/>
  <c r="J12" i="3"/>
  <c r="I12" i="3"/>
  <c r="H12" i="3"/>
  <c r="G12" i="3"/>
  <c r="F12" i="3"/>
  <c r="E12" i="3"/>
  <c r="D12" i="3"/>
  <c r="G11" i="3"/>
  <c r="O11" i="3"/>
  <c r="N11" i="3"/>
  <c r="M11" i="3"/>
  <c r="L11" i="3"/>
  <c r="K11" i="3"/>
  <c r="J11" i="3"/>
  <c r="I11" i="3"/>
  <c r="H11" i="3"/>
  <c r="F11" i="3"/>
  <c r="E11" i="3"/>
  <c r="D11" i="3"/>
  <c r="D12" i="2" l="1"/>
  <c r="C12" i="2"/>
  <c r="D8" i="2"/>
  <c r="C8" i="2"/>
  <c r="D7" i="2"/>
  <c r="C7" i="2"/>
  <c r="C6" i="2"/>
  <c r="D5" i="2"/>
  <c r="C5" i="2"/>
  <c r="D4" i="2"/>
  <c r="C4" i="2"/>
  <c r="F32" i="6" l="1"/>
  <c r="D32" i="6" l="1"/>
  <c r="E26" i="3" l="1"/>
  <c r="F26" i="3"/>
  <c r="G26" i="3"/>
  <c r="H26" i="3"/>
  <c r="I26" i="3"/>
  <c r="J26" i="3"/>
  <c r="K26" i="3"/>
  <c r="L26" i="3"/>
  <c r="M26" i="3"/>
  <c r="N26" i="3"/>
  <c r="O26" i="3"/>
  <c r="D26" i="3"/>
  <c r="E25" i="3"/>
  <c r="F25" i="3"/>
  <c r="G25" i="3"/>
  <c r="H25" i="3"/>
  <c r="I25" i="3"/>
  <c r="J25" i="3"/>
  <c r="K25" i="3"/>
  <c r="L25" i="3"/>
  <c r="M25" i="3"/>
  <c r="N25" i="3"/>
  <c r="O25" i="3"/>
  <c r="D25" i="3"/>
  <c r="A93" i="18"/>
  <c r="A92" i="18"/>
  <c r="A78" i="18"/>
  <c r="A79" i="18"/>
  <c r="A80" i="18"/>
  <c r="A81" i="18"/>
  <c r="A82" i="18"/>
  <c r="A83" i="18"/>
  <c r="A84" i="18"/>
  <c r="A85" i="18"/>
  <c r="A86" i="18"/>
  <c r="A87" i="18"/>
  <c r="A88" i="18"/>
  <c r="A89" i="18"/>
  <c r="A77" i="18"/>
  <c r="A66" i="18"/>
  <c r="A67" i="18"/>
  <c r="A68" i="18"/>
  <c r="A69" i="18"/>
  <c r="A70" i="18"/>
  <c r="A71" i="18"/>
  <c r="A72" i="18"/>
  <c r="A73" i="18"/>
  <c r="A74" i="18"/>
  <c r="A65" i="18"/>
  <c r="A58" i="18"/>
  <c r="A59" i="18"/>
  <c r="A60" i="18"/>
  <c r="A61" i="18"/>
  <c r="A62" i="18"/>
  <c r="A57" i="18"/>
  <c r="A52" i="18"/>
  <c r="A45" i="18"/>
  <c r="A46" i="18"/>
  <c r="A47" i="18"/>
  <c r="A48" i="18"/>
  <c r="A44" i="18"/>
  <c r="A33" i="18"/>
  <c r="A34" i="18"/>
  <c r="A35" i="18"/>
  <c r="A36" i="18"/>
  <c r="A37" i="18"/>
  <c r="A38" i="18"/>
  <c r="A39" i="18"/>
  <c r="A40" i="18"/>
  <c r="A32" i="18"/>
  <c r="A29" i="18"/>
  <c r="A28" i="18"/>
  <c r="A25" i="18"/>
  <c r="A24" i="18"/>
  <c r="A21" i="18"/>
  <c r="A20" i="18"/>
  <c r="A19" i="18"/>
  <c r="A18" i="18"/>
  <c r="A17" i="18"/>
  <c r="A16" i="18"/>
  <c r="A15" i="18"/>
  <c r="A14" i="18"/>
  <c r="A11" i="18"/>
  <c r="A10" i="18"/>
  <c r="A9" i="18"/>
  <c r="A5" i="18"/>
  <c r="A6" i="18"/>
  <c r="A4" i="18"/>
  <c r="A38" i="22"/>
  <c r="A39" i="22"/>
  <c r="A302" i="22"/>
  <c r="A272" i="22"/>
  <c r="A235" i="22"/>
  <c r="A233" i="22"/>
  <c r="A191" i="22"/>
  <c r="A42" i="22" l="1"/>
  <c r="A6" i="22"/>
  <c r="A7" i="22"/>
  <c r="A8" i="22"/>
  <c r="A9" i="22"/>
  <c r="A10" i="22"/>
  <c r="A11" i="22"/>
  <c r="A12" i="22"/>
  <c r="A13" i="22"/>
  <c r="A18" i="22"/>
  <c r="A19" i="22"/>
  <c r="A20" i="22"/>
  <c r="A21" i="22"/>
  <c r="A22" i="22"/>
  <c r="A23" i="22"/>
  <c r="A25" i="22"/>
  <c r="A26" i="22"/>
  <c r="B1" i="6" s="1"/>
  <c r="A27" i="22"/>
  <c r="A28" i="22"/>
  <c r="A30" i="22"/>
  <c r="A31" i="22"/>
  <c r="E21" i="6" s="1"/>
  <c r="A43" i="22"/>
  <c r="B11" i="6" s="1"/>
  <c r="A44" i="22"/>
  <c r="A45" i="22"/>
  <c r="A46" i="22"/>
  <c r="A47" i="22"/>
  <c r="A48" i="22"/>
  <c r="B21" i="6" s="1"/>
  <c r="A49" i="22"/>
  <c r="A50" i="22"/>
  <c r="A53" i="22"/>
  <c r="A54" i="22"/>
  <c r="A55" i="22"/>
  <c r="A56" i="22"/>
  <c r="A57" i="22"/>
  <c r="A58" i="22"/>
  <c r="A59" i="22"/>
  <c r="A60" i="22"/>
  <c r="A61" i="22"/>
  <c r="A62" i="22"/>
  <c r="A63" i="22"/>
  <c r="A64" i="22"/>
  <c r="A65" i="22"/>
  <c r="A66" i="22"/>
  <c r="A67" i="22"/>
  <c r="A68" i="22"/>
  <c r="A69" i="22"/>
  <c r="A70" i="22"/>
  <c r="A73" i="22"/>
  <c r="A74" i="22"/>
  <c r="A75" i="22"/>
  <c r="B74" i="6" s="1"/>
  <c r="A76" i="22"/>
  <c r="B76" i="6" s="1"/>
  <c r="A77" i="22"/>
  <c r="A78" i="22"/>
  <c r="A79" i="22"/>
  <c r="A80" i="22"/>
  <c r="A81" i="22"/>
  <c r="A82" i="22"/>
  <c r="A83" i="22"/>
  <c r="A84" i="22"/>
  <c r="A85" i="22"/>
  <c r="A86" i="22"/>
  <c r="A87" i="22"/>
  <c r="A88" i="22"/>
  <c r="A89" i="22"/>
  <c r="A90" i="22"/>
  <c r="A91" i="22"/>
  <c r="A92" i="22"/>
  <c r="A93" i="22"/>
  <c r="A94" i="22"/>
  <c r="A95" i="22"/>
  <c r="A96" i="22"/>
  <c r="A97" i="22"/>
  <c r="A98" i="22"/>
  <c r="A99" i="22"/>
  <c r="A103" i="22"/>
  <c r="A107" i="22"/>
  <c r="A108" i="22"/>
  <c r="A109" i="22"/>
  <c r="A111" i="22"/>
  <c r="A113" i="22"/>
  <c r="A114" i="22"/>
  <c r="A115" i="22"/>
  <c r="A116" i="22"/>
  <c r="A117" i="22"/>
  <c r="A118" i="22"/>
  <c r="A119" i="22"/>
  <c r="A120" i="22"/>
  <c r="A121" i="22"/>
  <c r="A122" i="22"/>
  <c r="A127" i="22"/>
  <c r="A128" i="22"/>
  <c r="A129" i="22"/>
  <c r="A130" i="22"/>
  <c r="A131" i="22"/>
  <c r="A132" i="22"/>
  <c r="A133" i="22"/>
  <c r="A134" i="22"/>
  <c r="A135" i="22"/>
  <c r="A136" i="22"/>
  <c r="A137" i="22"/>
  <c r="A138" i="22"/>
  <c r="A139" i="22"/>
  <c r="A140" i="22"/>
  <c r="A141" i="22"/>
  <c r="A142" i="22"/>
  <c r="A143" i="22"/>
  <c r="A145" i="22"/>
  <c r="A146" i="22"/>
  <c r="A3" i="20" s="1"/>
  <c r="A147" i="22"/>
  <c r="A6" i="20" s="1"/>
  <c r="A148" i="22"/>
  <c r="A9" i="20" s="1"/>
  <c r="A149" i="22"/>
  <c r="A150" i="22"/>
  <c r="A151" i="22"/>
  <c r="A152" i="22"/>
  <c r="A153"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2" i="22"/>
  <c r="A193" i="22"/>
  <c r="A194" i="22"/>
  <c r="A195" i="22"/>
  <c r="A196" i="22"/>
  <c r="A197" i="22"/>
  <c r="A198" i="22"/>
  <c r="A199" i="22"/>
  <c r="A200" i="22"/>
  <c r="A201"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6" i="22"/>
  <c r="A237" i="22"/>
  <c r="A238" i="22"/>
  <c r="A239" i="22"/>
  <c r="A240"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3" i="22"/>
  <c r="A274" i="22"/>
  <c r="A275" i="22"/>
  <c r="A276" i="22"/>
  <c r="A277" i="22"/>
  <c r="A278" i="22"/>
  <c r="A279" i="22"/>
  <c r="A280" i="22"/>
  <c r="A281" i="22"/>
  <c r="A283" i="22"/>
  <c r="A284" i="22"/>
  <c r="A285" i="22"/>
  <c r="A286" i="22"/>
  <c r="A287" i="22"/>
  <c r="A288" i="22"/>
  <c r="A289" i="22"/>
  <c r="A290" i="22"/>
  <c r="A291" i="22"/>
  <c r="A292" i="22"/>
  <c r="A293" i="22"/>
  <c r="A294" i="22"/>
  <c r="A295" i="22"/>
  <c r="A296" i="22"/>
  <c r="A297" i="22"/>
  <c r="A298" i="22"/>
  <c r="A299" i="22"/>
  <c r="A300" i="22"/>
  <c r="A303" i="22"/>
  <c r="A304" i="22"/>
  <c r="A305" i="22"/>
  <c r="A306" i="22"/>
  <c r="A307" i="22"/>
  <c r="A320" i="22"/>
  <c r="A321" i="22"/>
  <c r="A322" i="22"/>
  <c r="A323" i="22"/>
  <c r="A4" i="22"/>
  <c r="A5" i="22"/>
  <c r="A3" i="22"/>
  <c r="C168" i="6" l="1"/>
  <c r="E168" i="6"/>
  <c r="E166" i="6"/>
  <c r="C166" i="6"/>
  <c r="A1" i="20"/>
  <c r="I4" i="4"/>
  <c r="J5" i="2"/>
  <c r="J2" i="2"/>
  <c r="I2" i="4"/>
  <c r="C236" i="6"/>
  <c r="C234" i="6"/>
  <c r="C4" i="6"/>
  <c r="C232" i="6"/>
  <c r="E232" i="6"/>
  <c r="E202" i="6"/>
  <c r="E200" i="6"/>
  <c r="C202" i="6"/>
  <c r="C200" i="6"/>
  <c r="E236" i="6"/>
  <c r="C160" i="6"/>
  <c r="E234" i="6"/>
  <c r="E143" i="6"/>
  <c r="E160" i="6"/>
  <c r="F115" i="6"/>
  <c r="F136" i="6"/>
  <c r="F86" i="6"/>
  <c r="D86" i="6"/>
  <c r="E139" i="6"/>
  <c r="C89" i="6"/>
  <c r="C87" i="6"/>
  <c r="E132" i="6"/>
  <c r="C101" i="6"/>
  <c r="C91" i="6"/>
  <c r="C99" i="6"/>
  <c r="C97" i="6"/>
  <c r="E72" i="6"/>
  <c r="E124" i="6"/>
  <c r="C95" i="6"/>
  <c r="C93" i="6"/>
  <c r="E25" i="6"/>
  <c r="Q32" i="19"/>
  <c r="J32" i="19" s="1"/>
  <c r="Q31" i="19"/>
  <c r="J31" i="19" s="1"/>
  <c r="Q30" i="19"/>
  <c r="J30" i="19" s="1"/>
  <c r="Q29" i="19"/>
  <c r="J29" i="19" s="1"/>
  <c r="B71" i="6"/>
  <c r="B66" i="6"/>
  <c r="B64" i="6"/>
  <c r="B40" i="4"/>
  <c r="A190" i="22"/>
  <c r="D27" i="2" s="1"/>
  <c r="B14" i="6"/>
  <c r="B15" i="6"/>
  <c r="B19" i="6"/>
  <c r="B23" i="6"/>
  <c r="B32" i="6"/>
  <c r="B34" i="6"/>
  <c r="B37" i="6"/>
  <c r="B38" i="6"/>
  <c r="B39" i="6"/>
  <c r="B41" i="6"/>
  <c r="B43" i="6"/>
  <c r="B45" i="6"/>
  <c r="B47" i="6"/>
  <c r="B49" i="6"/>
  <c r="B51" i="6"/>
  <c r="B53" i="6"/>
  <c r="B55" i="6"/>
  <c r="B57" i="6"/>
  <c r="B59" i="6"/>
  <c r="B61" i="6"/>
  <c r="B72" i="6"/>
  <c r="B78" i="6"/>
  <c r="B80" i="6"/>
  <c r="B82" i="6"/>
  <c r="B85" i="6"/>
  <c r="B86" i="6"/>
  <c r="B87" i="6"/>
  <c r="B89" i="6"/>
  <c r="B91" i="6"/>
  <c r="B93" i="6"/>
  <c r="B95" i="6"/>
  <c r="B97" i="6"/>
  <c r="B99" i="6"/>
  <c r="B101" i="6"/>
  <c r="B103" i="6"/>
  <c r="B105" i="6"/>
  <c r="B107" i="6"/>
  <c r="B109" i="6"/>
  <c r="B111" i="6"/>
  <c r="B113" i="6"/>
  <c r="B115" i="6"/>
  <c r="B116" i="6"/>
  <c r="B136" i="6"/>
  <c r="B147" i="6"/>
  <c r="B149" i="6"/>
  <c r="B151" i="6"/>
  <c r="B153" i="6"/>
  <c r="B155" i="6"/>
  <c r="B157" i="6"/>
  <c r="B159" i="6"/>
  <c r="B200" i="6"/>
  <c r="B202" i="6"/>
  <c r="B204" i="6"/>
  <c r="B205" i="6"/>
  <c r="B206" i="6"/>
  <c r="B208" i="6"/>
  <c r="B210" i="6"/>
  <c r="B212" i="6"/>
  <c r="B214" i="6"/>
  <c r="B216" i="6"/>
  <c r="B218" i="6"/>
  <c r="B220" i="6"/>
  <c r="B222" i="6"/>
  <c r="B224" i="6"/>
  <c r="B226" i="6"/>
  <c r="B228" i="6"/>
  <c r="B231" i="6"/>
  <c r="B232" i="6"/>
  <c r="B234" i="6"/>
  <c r="B236" i="6"/>
  <c r="B1" i="2"/>
  <c r="B3" i="2"/>
  <c r="B4" i="2"/>
  <c r="B5" i="2"/>
  <c r="B6" i="2"/>
  <c r="B7" i="2"/>
  <c r="B8" i="2"/>
  <c r="B9" i="2"/>
  <c r="B11" i="2"/>
  <c r="B12" i="2"/>
  <c r="B13" i="2"/>
  <c r="B14" i="2"/>
  <c r="B15" i="2"/>
  <c r="B17" i="2"/>
  <c r="C3" i="2"/>
  <c r="D3" i="2"/>
  <c r="E3" i="2"/>
  <c r="G3" i="2"/>
  <c r="G4" i="2"/>
  <c r="G5" i="2"/>
  <c r="G6" i="2"/>
  <c r="G7" i="2"/>
  <c r="G11" i="2"/>
  <c r="G12" i="2"/>
  <c r="G13" i="2"/>
  <c r="G14" i="2"/>
  <c r="G17" i="2"/>
  <c r="B20" i="2"/>
  <c r="C22" i="2"/>
  <c r="C24" i="2"/>
  <c r="C26" i="2"/>
  <c r="B27" i="2"/>
  <c r="D23" i="2"/>
  <c r="D25" i="2"/>
  <c r="F20" i="2"/>
  <c r="F21" i="2"/>
  <c r="F22" i="2"/>
  <c r="F23" i="2"/>
  <c r="F24" i="2"/>
  <c r="F25" i="2"/>
  <c r="F26" i="2"/>
  <c r="F27" i="2"/>
  <c r="B1" i="3"/>
  <c r="B3" i="3"/>
  <c r="B5" i="3"/>
  <c r="B7" i="3"/>
  <c r="B8" i="3"/>
  <c r="B9" i="3"/>
  <c r="B10" i="3"/>
  <c r="B11" i="3"/>
  <c r="B12" i="3"/>
  <c r="B13" i="3"/>
  <c r="B14" i="3"/>
  <c r="B15" i="3"/>
  <c r="B17" i="3"/>
  <c r="B18" i="3"/>
  <c r="B19" i="3"/>
  <c r="B20" i="3"/>
  <c r="B21" i="3"/>
  <c r="B22" i="3"/>
  <c r="B25" i="3"/>
  <c r="B26" i="3"/>
  <c r="B27" i="3"/>
  <c r="B28" i="3"/>
  <c r="B29" i="3"/>
  <c r="B30" i="3"/>
  <c r="B31" i="3"/>
  <c r="B32" i="3"/>
  <c r="B33" i="3"/>
  <c r="B44" i="3"/>
  <c r="B46" i="3"/>
  <c r="C230" i="6"/>
  <c r="B1" i="4"/>
  <c r="B3" i="4"/>
  <c r="B4" i="4"/>
  <c r="B5" i="4"/>
  <c r="B6" i="4"/>
  <c r="B7" i="4"/>
  <c r="B9" i="4"/>
  <c r="B10" i="4"/>
  <c r="B11" i="4"/>
  <c r="B12" i="4"/>
  <c r="B14" i="4"/>
  <c r="B15" i="4"/>
  <c r="B16" i="4"/>
  <c r="B19" i="4"/>
  <c r="B20" i="4"/>
  <c r="B21" i="4"/>
  <c r="B22" i="4"/>
  <c r="B23" i="4"/>
  <c r="B24" i="4"/>
  <c r="B25" i="4"/>
  <c r="B27" i="4"/>
  <c r="B28" i="4"/>
  <c r="B30" i="4"/>
  <c r="F4" i="4"/>
  <c r="F5" i="4"/>
  <c r="F6" i="4"/>
  <c r="F8" i="4"/>
  <c r="F9" i="4"/>
  <c r="F11" i="4"/>
  <c r="B1" i="5"/>
  <c r="B2" i="5"/>
  <c r="B3" i="5"/>
  <c r="B4" i="5"/>
  <c r="B5" i="5"/>
  <c r="B6" i="5"/>
  <c r="B7" i="5"/>
  <c r="B8" i="5"/>
  <c r="B9" i="5"/>
  <c r="B10" i="5"/>
  <c r="B11" i="5"/>
  <c r="B88" i="5"/>
  <c r="B90" i="5"/>
  <c r="B43" i="5"/>
  <c r="B19" i="5"/>
  <c r="G5" i="5"/>
  <c r="G6" i="5"/>
  <c r="G7" i="5"/>
  <c r="G10" i="5"/>
  <c r="C10" i="5"/>
  <c r="B197" i="6"/>
  <c r="E112" i="22"/>
  <c r="B145" i="6"/>
  <c r="E110" i="22"/>
  <c r="D110" i="22"/>
  <c r="A110" i="22"/>
  <c r="B139" i="6" s="1"/>
  <c r="B135" i="6"/>
  <c r="A105" i="22"/>
  <c r="B130" i="6" s="1"/>
  <c r="A101" i="22"/>
  <c r="B122" i="6" s="1"/>
  <c r="E125" i="22"/>
  <c r="D125" i="22"/>
  <c r="B25" i="6"/>
  <c r="E126" i="22"/>
  <c r="D126" i="22"/>
  <c r="E124" i="22"/>
  <c r="D124" i="22"/>
  <c r="A29" i="22"/>
  <c r="B3" i="6"/>
  <c r="B4" i="6"/>
  <c r="D3" i="6"/>
  <c r="B37" i="23"/>
  <c r="B35" i="23"/>
  <c r="B33" i="23"/>
  <c r="B32" i="23"/>
  <c r="B19" i="23"/>
  <c r="B18" i="23"/>
  <c r="B16" i="23"/>
  <c r="B15" i="23"/>
  <c r="B13" i="23"/>
  <c r="B12" i="23"/>
  <c r="B11" i="23"/>
  <c r="B10" i="23"/>
  <c r="B9" i="23"/>
  <c r="B8" i="23"/>
  <c r="B3" i="23"/>
  <c r="B1" i="23"/>
  <c r="B137" i="6"/>
  <c r="B141" i="6"/>
  <c r="B42" i="4"/>
  <c r="B126" i="6"/>
  <c r="B160" i="6"/>
  <c r="B118" i="6"/>
  <c r="D172" i="6"/>
  <c r="C3" i="5"/>
  <c r="C4" i="5" s="1"/>
  <c r="C11" i="5"/>
  <c r="C9" i="21"/>
  <c r="N53" i="19"/>
  <c r="M53" i="19"/>
  <c r="N52" i="19"/>
  <c r="M52" i="19"/>
  <c r="N51" i="19"/>
  <c r="M51" i="19"/>
  <c r="N50" i="19"/>
  <c r="M50" i="19"/>
  <c r="N49" i="19"/>
  <c r="M49" i="19"/>
  <c r="N44" i="19"/>
  <c r="M44" i="19"/>
  <c r="N43" i="19"/>
  <c r="M43" i="19"/>
  <c r="N42" i="19"/>
  <c r="M42" i="19"/>
  <c r="C4" i="4"/>
  <c r="C9" i="4"/>
  <c r="C10" i="4" s="1"/>
  <c r="D13" i="2"/>
  <c r="E13" i="2" s="1"/>
  <c r="D9" i="2"/>
  <c r="E9" i="2" s="1"/>
  <c r="H5" i="2"/>
  <c r="H6" i="2"/>
  <c r="H12" i="2"/>
  <c r="D30" i="3"/>
  <c r="E30" i="3"/>
  <c r="F30" i="3"/>
  <c r="G30" i="3"/>
  <c r="H30" i="3"/>
  <c r="I30" i="3"/>
  <c r="J30" i="3"/>
  <c r="K30" i="3"/>
  <c r="L30" i="3"/>
  <c r="M30" i="3"/>
  <c r="N30" i="3"/>
  <c r="O30" i="3"/>
  <c r="Q44" i="19"/>
  <c r="J44" i="19" s="1"/>
  <c r="Q43" i="19"/>
  <c r="J43" i="19" s="1"/>
  <c r="Q50" i="19"/>
  <c r="J50" i="19" s="1"/>
  <c r="Q51" i="19"/>
  <c r="J51" i="19" s="1"/>
  <c r="Q52" i="19"/>
  <c r="J52" i="19" s="1"/>
  <c r="Q53" i="19"/>
  <c r="J53" i="19" s="1"/>
  <c r="D13" i="5"/>
  <c r="E13" i="5" s="1"/>
  <c r="F13" i="5" s="1"/>
  <c r="G13" i="5" s="1"/>
  <c r="H13" i="5" s="1"/>
  <c r="I13" i="5" s="1"/>
  <c r="J13" i="5" s="1"/>
  <c r="K13" i="5" s="1"/>
  <c r="L13" i="5" s="1"/>
  <c r="M13" i="5" s="1"/>
  <c r="N13" i="5" s="1"/>
  <c r="C22" i="5" s="1"/>
  <c r="D22" i="5" s="1"/>
  <c r="E22" i="5" s="1"/>
  <c r="F22" i="5" s="1"/>
  <c r="G22" i="5" s="1"/>
  <c r="H22" i="5" s="1"/>
  <c r="I22" i="5" s="1"/>
  <c r="J22" i="5" s="1"/>
  <c r="K22" i="5" s="1"/>
  <c r="L22" i="5" s="1"/>
  <c r="M22" i="5" s="1"/>
  <c r="N22" i="5" s="1"/>
  <c r="C30" i="5" s="1"/>
  <c r="D30" i="5" s="1"/>
  <c r="E30" i="5" s="1"/>
  <c r="F30" i="5" s="1"/>
  <c r="G30" i="5" s="1"/>
  <c r="H30" i="5" s="1"/>
  <c r="I30" i="5" s="1"/>
  <c r="J30" i="5" s="1"/>
  <c r="K30" i="5" s="1"/>
  <c r="L30" i="5" s="1"/>
  <c r="M30" i="5" s="1"/>
  <c r="N30" i="5" s="1"/>
  <c r="C38" i="5" s="1"/>
  <c r="D38" i="5" s="1"/>
  <c r="E38" i="5" s="1"/>
  <c r="F38" i="5" s="1"/>
  <c r="G38" i="5" s="1"/>
  <c r="H38" i="5" s="1"/>
  <c r="I38" i="5" s="1"/>
  <c r="J38" i="5" s="1"/>
  <c r="K38" i="5" s="1"/>
  <c r="L38" i="5" s="1"/>
  <c r="M38" i="5" s="1"/>
  <c r="N38" i="5" s="1"/>
  <c r="C46" i="5" s="1"/>
  <c r="D46" i="5" s="1"/>
  <c r="E46" i="5" s="1"/>
  <c r="F46" i="5" s="1"/>
  <c r="G46" i="5" s="1"/>
  <c r="H46" i="5" s="1"/>
  <c r="I46" i="5" s="1"/>
  <c r="J46" i="5" s="1"/>
  <c r="K46" i="5" s="1"/>
  <c r="L46" i="5" s="1"/>
  <c r="M46" i="5" s="1"/>
  <c r="N46" i="5" s="1"/>
  <c r="C54" i="5" s="1"/>
  <c r="D54" i="5" s="1"/>
  <c r="E54" i="5" s="1"/>
  <c r="F54" i="5" s="1"/>
  <c r="G54" i="5" s="1"/>
  <c r="H54" i="5" s="1"/>
  <c r="I54" i="5" s="1"/>
  <c r="J54" i="5" s="1"/>
  <c r="K54" i="5" s="1"/>
  <c r="L54" i="5" s="1"/>
  <c r="M54" i="5" s="1"/>
  <c r="N54" i="5" s="1"/>
  <c r="K50" i="19"/>
  <c r="K51" i="19"/>
  <c r="K52" i="19"/>
  <c r="J49" i="19"/>
  <c r="K49" i="19"/>
  <c r="L37" i="19"/>
  <c r="K43" i="19"/>
  <c r="J42" i="19"/>
  <c r="K42" i="19"/>
  <c r="J37" i="19"/>
  <c r="L32" i="19"/>
  <c r="L31" i="19"/>
  <c r="K31" i="19"/>
  <c r="L30" i="19"/>
  <c r="K30" i="19"/>
  <c r="L29" i="19"/>
  <c r="K29" i="19"/>
  <c r="L28" i="19"/>
  <c r="K28" i="19"/>
  <c r="J28" i="19"/>
  <c r="L23" i="19"/>
  <c r="Q23" i="19"/>
  <c r="J23" i="19" s="1"/>
  <c r="L22" i="19"/>
  <c r="K22" i="19"/>
  <c r="Q22" i="19"/>
  <c r="J22" i="19" s="1"/>
  <c r="L21" i="19"/>
  <c r="K21" i="19"/>
  <c r="Q21" i="19"/>
  <c r="J21" i="19" s="1"/>
  <c r="L20" i="19"/>
  <c r="K20" i="19"/>
  <c r="Q20" i="19"/>
  <c r="J20" i="19" s="1"/>
  <c r="L19" i="19"/>
  <c r="K19" i="19"/>
  <c r="J19" i="19"/>
  <c r="L14" i="19"/>
  <c r="J14" i="19"/>
  <c r="J9" i="19"/>
  <c r="J6" i="19"/>
  <c r="J46" i="19"/>
  <c r="J39" i="19"/>
  <c r="J34" i="19"/>
  <c r="J25" i="19"/>
  <c r="J16" i="19"/>
  <c r="J11" i="19"/>
  <c r="D184" i="6"/>
  <c r="F184" i="6"/>
  <c r="D186" i="6"/>
  <c r="F186" i="6"/>
  <c r="D188" i="6"/>
  <c r="F188" i="6"/>
  <c r="D178" i="6"/>
  <c r="F178" i="6"/>
  <c r="D180" i="6"/>
  <c r="F180" i="6"/>
  <c r="D182" i="6"/>
  <c r="F182" i="6"/>
  <c r="F172" i="6"/>
  <c r="D174" i="6"/>
  <c r="F174" i="6"/>
  <c r="D176" i="6"/>
  <c r="F176" i="6"/>
  <c r="B19" i="19"/>
  <c r="B18" i="19"/>
  <c r="C18" i="19"/>
  <c r="D18" i="19"/>
  <c r="E18" i="19"/>
  <c r="B23" i="19"/>
  <c r="C23" i="19"/>
  <c r="D23" i="19"/>
  <c r="E23" i="19"/>
  <c r="A15" i="6"/>
  <c r="A17" i="6" s="1"/>
  <c r="A19" i="6" s="1"/>
  <c r="A21" i="6" s="1"/>
  <c r="A23" i="6" s="1"/>
  <c r="A25" i="6" s="1"/>
  <c r="A27" i="6" s="1"/>
  <c r="A29" i="6" s="1"/>
  <c r="A38" i="6" s="1"/>
  <c r="A72" i="6" s="1"/>
  <c r="A74" i="6" s="1"/>
  <c r="A76" i="6" s="1"/>
  <c r="A78" i="6" s="1"/>
  <c r="A80" i="6" s="1"/>
  <c r="A82" i="6" s="1"/>
  <c r="A86" i="6" s="1"/>
  <c r="A116" i="6" s="1"/>
  <c r="A118" i="6" s="1"/>
  <c r="A126" i="6" s="1"/>
  <c r="A136" i="6" s="1"/>
  <c r="A160" i="6" s="1"/>
  <c r="A164" i="6" s="1"/>
  <c r="A166" i="6" s="1"/>
  <c r="A168" i="6" s="1"/>
  <c r="F64" i="6"/>
  <c r="D24" i="19"/>
  <c r="B24" i="19"/>
  <c r="D190" i="6"/>
  <c r="F190" i="6"/>
  <c r="D192" i="6"/>
  <c r="F192" i="6"/>
  <c r="D194" i="6"/>
  <c r="F194" i="6"/>
  <c r="D64" i="6"/>
  <c r="C10" i="3"/>
  <c r="P10" i="3" s="1"/>
  <c r="D198" i="6"/>
  <c r="F198" i="6"/>
  <c r="C9" i="3"/>
  <c r="P9" i="3" s="1"/>
  <c r="A52" i="22"/>
  <c r="C5" i="4" l="1"/>
  <c r="C6" i="4" s="1"/>
  <c r="C7" i="4" s="1"/>
  <c r="I28" i="3"/>
  <c r="D66" i="6"/>
  <c r="F66" i="6"/>
  <c r="D13" i="3"/>
  <c r="D14" i="3" s="1"/>
  <c r="A102" i="22"/>
  <c r="B124" i="6" s="1"/>
  <c r="A104" i="22"/>
  <c r="B128" i="6" s="1"/>
  <c r="A106" i="22"/>
  <c r="B132" i="6" s="1"/>
  <c r="A112" i="22"/>
  <c r="B143" i="6" s="1"/>
  <c r="T20" i="19"/>
  <c r="M20" i="19"/>
  <c r="T21" i="19"/>
  <c r="M21" i="19"/>
  <c r="B24" i="3"/>
  <c r="B72" i="5"/>
  <c r="E5" i="2"/>
  <c r="E4" i="2"/>
  <c r="E6" i="2"/>
  <c r="E8" i="2"/>
  <c r="E7" i="2"/>
  <c r="C14" i="4"/>
  <c r="B10" i="21"/>
  <c r="C11" i="4"/>
  <c r="C12" i="4" s="1"/>
  <c r="E28" i="3"/>
  <c r="P30" i="3"/>
  <c r="C28" i="4" s="1"/>
  <c r="A3" i="21"/>
  <c r="P25" i="3"/>
  <c r="C21" i="4" s="1"/>
  <c r="C26" i="3"/>
  <c r="P26" i="3" s="1"/>
  <c r="C22" i="4" s="1"/>
  <c r="B66" i="5"/>
  <c r="C18" i="3"/>
  <c r="P18" i="3" s="1"/>
  <c r="B25" i="2"/>
  <c r="B23" i="2"/>
  <c r="B18" i="5"/>
  <c r="B50" i="5"/>
  <c r="B74" i="5"/>
  <c r="B34" i="5"/>
  <c r="B35" i="4"/>
  <c r="B48" i="5"/>
  <c r="B56" i="5"/>
  <c r="R2" i="3"/>
  <c r="B82" i="5"/>
  <c r="B42" i="5"/>
  <c r="B37" i="4"/>
  <c r="B17" i="5"/>
  <c r="B26" i="5"/>
  <c r="B170" i="6"/>
  <c r="B58" i="5"/>
  <c r="C62" i="5"/>
  <c r="D62" i="5" s="1"/>
  <c r="E62" i="5" s="1"/>
  <c r="F62" i="5" s="1"/>
  <c r="G62" i="5" s="1"/>
  <c r="H62" i="5" s="1"/>
  <c r="I62" i="5" s="1"/>
  <c r="J62" i="5" s="1"/>
  <c r="K62" i="5" s="1"/>
  <c r="L62" i="5" s="1"/>
  <c r="M62" i="5" s="1"/>
  <c r="N62" i="5" s="1"/>
  <c r="B54" i="5"/>
  <c r="A171" i="6"/>
  <c r="A198" i="6" s="1"/>
  <c r="A200" i="6"/>
  <c r="A202" i="6" s="1"/>
  <c r="A205" i="6" s="1"/>
  <c r="A231" i="6" s="1"/>
  <c r="E12" i="2"/>
  <c r="B76" i="5"/>
  <c r="B68" i="5"/>
  <c r="A71" i="22"/>
  <c r="A126" i="22"/>
  <c r="B168" i="6" s="1"/>
  <c r="A125" i="22"/>
  <c r="B166" i="6" s="1"/>
  <c r="A124" i="22"/>
  <c r="B164" i="6" s="1"/>
  <c r="A41" i="22"/>
  <c r="D10" i="6" s="1"/>
  <c r="C10" i="21"/>
  <c r="B75" i="5"/>
  <c r="B27" i="5"/>
  <c r="B59" i="5"/>
  <c r="B32" i="5"/>
  <c r="B83" i="5"/>
  <c r="B40" i="5"/>
  <c r="B15" i="5"/>
  <c r="B64" i="5"/>
  <c r="B35" i="5"/>
  <c r="B67" i="5"/>
  <c r="B91" i="5"/>
  <c r="B51" i="5"/>
  <c r="B80" i="5"/>
  <c r="B24" i="5"/>
  <c r="B60" i="5"/>
  <c r="B52" i="5"/>
  <c r="B28" i="5"/>
  <c r="B20" i="5"/>
  <c r="B44" i="5"/>
  <c r="B84" i="5"/>
  <c r="B36" i="5"/>
  <c r="B92" i="5"/>
  <c r="B38" i="5"/>
  <c r="B46" i="5"/>
  <c r="B30" i="5"/>
  <c r="B13" i="5"/>
  <c r="B22" i="5"/>
  <c r="E9" i="21"/>
  <c r="F9" i="21" s="1"/>
  <c r="E40" i="3" l="1"/>
  <c r="F40" i="3"/>
  <c r="G40" i="3"/>
  <c r="H40" i="3"/>
  <c r="I40" i="3"/>
  <c r="D40" i="3"/>
  <c r="N37" i="3"/>
  <c r="O37" i="3"/>
  <c r="M37" i="3"/>
  <c r="J37" i="3"/>
  <c r="K37" i="3"/>
  <c r="L37" i="3"/>
  <c r="E37" i="3"/>
  <c r="I37" i="3"/>
  <c r="F37" i="3"/>
  <c r="G37" i="3"/>
  <c r="H37" i="3"/>
  <c r="D37" i="3"/>
  <c r="G3" i="19"/>
  <c r="C7" i="5"/>
  <c r="C8" i="5" s="1"/>
  <c r="A51" i="22"/>
  <c r="A72" i="22"/>
  <c r="A232" i="22"/>
  <c r="A301" i="22"/>
  <c r="G3" i="5" s="1"/>
  <c r="A234" i="22"/>
  <c r="A37" i="22"/>
  <c r="A40" i="22"/>
  <c r="F10" i="6" s="1"/>
  <c r="A271" i="22"/>
  <c r="B42" i="3"/>
  <c r="F3" i="4"/>
  <c r="G4" i="5"/>
  <c r="J21" i="3"/>
  <c r="G28" i="3"/>
  <c r="E21" i="3"/>
  <c r="K28" i="3"/>
  <c r="F28" i="3"/>
  <c r="C17" i="2"/>
  <c r="H4" i="2" s="1"/>
  <c r="H7" i="2" s="1"/>
  <c r="H28" i="3"/>
  <c r="L28" i="3"/>
  <c r="M28" i="3"/>
  <c r="F21" i="3"/>
  <c r="O28" i="3"/>
  <c r="J28" i="3"/>
  <c r="C24" i="4"/>
  <c r="G5" i="4" s="1"/>
  <c r="N21" i="3"/>
  <c r="L21" i="3"/>
  <c r="D28" i="3"/>
  <c r="P27" i="3"/>
  <c r="C23" i="4" s="1"/>
  <c r="F13" i="3"/>
  <c r="F14" i="3" s="1"/>
  <c r="L13" i="3"/>
  <c r="L15" i="3" s="1"/>
  <c r="M21" i="3"/>
  <c r="N28" i="3"/>
  <c r="C15" i="4"/>
  <c r="C16" i="4" s="1"/>
  <c r="G21" i="3"/>
  <c r="I13" i="3"/>
  <c r="I14" i="3" s="1"/>
  <c r="C11" i="21"/>
  <c r="B11" i="21"/>
  <c r="D21" i="3"/>
  <c r="P24" i="3"/>
  <c r="C20" i="4" s="1"/>
  <c r="I21" i="3"/>
  <c r="G13" i="3"/>
  <c r="G15" i="3" s="1"/>
  <c r="P22" i="3"/>
  <c r="C19" i="4" s="1"/>
  <c r="O21" i="3"/>
  <c r="P19" i="3"/>
  <c r="J13" i="3"/>
  <c r="H21" i="3"/>
  <c r="P11" i="3"/>
  <c r="K21" i="3"/>
  <c r="P12" i="3"/>
  <c r="N13" i="3"/>
  <c r="N14" i="3" s="1"/>
  <c r="E13" i="3"/>
  <c r="E14" i="3" s="1"/>
  <c r="O13" i="3"/>
  <c r="O14" i="3" s="1"/>
  <c r="D15" i="3"/>
  <c r="P20" i="3"/>
  <c r="K13" i="3"/>
  <c r="K14" i="3" s="1"/>
  <c r="H13" i="3"/>
  <c r="H15" i="3" s="1"/>
  <c r="M13" i="3"/>
  <c r="M14" i="3" s="1"/>
  <c r="C70" i="5"/>
  <c r="D70" i="5" s="1"/>
  <c r="E70" i="5" s="1"/>
  <c r="F70" i="5" s="1"/>
  <c r="G70" i="5" s="1"/>
  <c r="H70" i="5" s="1"/>
  <c r="I70" i="5" s="1"/>
  <c r="J70" i="5" s="1"/>
  <c r="K70" i="5" s="1"/>
  <c r="L70" i="5" s="1"/>
  <c r="M70" i="5" s="1"/>
  <c r="N70" i="5" s="1"/>
  <c r="B62" i="5"/>
  <c r="E10" i="21"/>
  <c r="F10" i="21" s="1"/>
  <c r="E11" i="21" s="1"/>
  <c r="F11" i="21" s="1"/>
  <c r="B18" i="4" l="1"/>
  <c r="B40" i="3"/>
  <c r="B41" i="4"/>
  <c r="B36" i="4"/>
  <c r="B32" i="4"/>
  <c r="B37" i="3"/>
  <c r="B36" i="3"/>
  <c r="B39" i="3"/>
  <c r="T9" i="21"/>
  <c r="P10" i="21"/>
  <c r="O10" i="21"/>
  <c r="O9" i="21"/>
  <c r="P9" i="21"/>
  <c r="V9" i="21"/>
  <c r="P31" i="3"/>
  <c r="C12" i="21"/>
  <c r="J29" i="3"/>
  <c r="I15" i="3"/>
  <c r="L14" i="3"/>
  <c r="M29" i="3"/>
  <c r="F15" i="3"/>
  <c r="G14" i="3"/>
  <c r="O11" i="21"/>
  <c r="B12" i="21"/>
  <c r="P11" i="21"/>
  <c r="P40" i="3"/>
  <c r="C42" i="4" s="1"/>
  <c r="P21" i="3"/>
  <c r="E15" i="3"/>
  <c r="N15" i="3"/>
  <c r="J15" i="3"/>
  <c r="J14" i="3"/>
  <c r="O15" i="3"/>
  <c r="K15" i="3"/>
  <c r="H14" i="3"/>
  <c r="P13" i="3"/>
  <c r="M15" i="3"/>
  <c r="C78" i="5"/>
  <c r="D78" i="5" s="1"/>
  <c r="E78" i="5" s="1"/>
  <c r="F78" i="5" s="1"/>
  <c r="G78" i="5" s="1"/>
  <c r="H78" i="5" s="1"/>
  <c r="I78" i="5" s="1"/>
  <c r="J78" i="5" s="1"/>
  <c r="K78" i="5" s="1"/>
  <c r="L78" i="5" s="1"/>
  <c r="M78" i="5" s="1"/>
  <c r="N78" i="5" s="1"/>
  <c r="B70" i="5"/>
  <c r="G10" i="21"/>
  <c r="E12" i="21"/>
  <c r="F12" i="21" s="1"/>
  <c r="G11" i="21"/>
  <c r="U9" i="21" l="1"/>
  <c r="C13" i="21"/>
  <c r="B13" i="21"/>
  <c r="B14" i="21" s="1"/>
  <c r="P12" i="21"/>
  <c r="O12" i="21"/>
  <c r="P14" i="3"/>
  <c r="C86" i="5"/>
  <c r="D86" i="5" s="1"/>
  <c r="E86" i="5" s="1"/>
  <c r="F86" i="5" s="1"/>
  <c r="G86" i="5" s="1"/>
  <c r="H86" i="5" s="1"/>
  <c r="I86" i="5" s="1"/>
  <c r="J86" i="5" s="1"/>
  <c r="K86" i="5" s="1"/>
  <c r="L86" i="5" s="1"/>
  <c r="M86" i="5" s="1"/>
  <c r="N86" i="5" s="1"/>
  <c r="B86" i="5" s="1"/>
  <c r="B78" i="5"/>
  <c r="E13" i="21"/>
  <c r="F13" i="21" s="1"/>
  <c r="G12" i="21"/>
  <c r="O13" i="21" l="1"/>
  <c r="C14" i="21"/>
  <c r="C15" i="21" s="1"/>
  <c r="P13" i="21"/>
  <c r="O14" i="21"/>
  <c r="P14" i="21"/>
  <c r="B15" i="21"/>
  <c r="E14" i="21"/>
  <c r="F14" i="21" s="1"/>
  <c r="G13" i="21"/>
  <c r="C16" i="21" l="1"/>
  <c r="B16" i="21"/>
  <c r="O15" i="21"/>
  <c r="P15" i="21"/>
  <c r="G14" i="21"/>
  <c r="E15" i="21"/>
  <c r="F15" i="21" s="1"/>
  <c r="P16" i="21" l="1"/>
  <c r="O16" i="21"/>
  <c r="B17" i="21"/>
  <c r="C17" i="21"/>
  <c r="G15" i="21"/>
  <c r="E16" i="21"/>
  <c r="F16" i="21" s="1"/>
  <c r="C18" i="21" l="1"/>
  <c r="B18" i="21"/>
  <c r="O17" i="21"/>
  <c r="P17" i="21"/>
  <c r="G16" i="21"/>
  <c r="E17" i="21"/>
  <c r="F17" i="21" s="1"/>
  <c r="B19" i="21" l="1"/>
  <c r="P18" i="21"/>
  <c r="O18" i="21"/>
  <c r="C19" i="21"/>
  <c r="G17" i="21"/>
  <c r="E18" i="21"/>
  <c r="F18" i="21" s="1"/>
  <c r="C20" i="21" l="1"/>
  <c r="O19" i="21"/>
  <c r="B20" i="21"/>
  <c r="P19" i="21"/>
  <c r="G18" i="21"/>
  <c r="E19" i="21"/>
  <c r="F19" i="21" s="1"/>
  <c r="B21" i="21" l="1"/>
  <c r="O20" i="21"/>
  <c r="P20" i="21"/>
  <c r="C21" i="21"/>
  <c r="E20" i="21"/>
  <c r="F20" i="21" s="1"/>
  <c r="G19" i="21"/>
  <c r="C22" i="21" l="1"/>
  <c r="P21" i="21"/>
  <c r="B22" i="21"/>
  <c r="O21" i="21"/>
  <c r="E21" i="21"/>
  <c r="F21" i="21" s="1"/>
  <c r="G20" i="21"/>
  <c r="C23" i="21" l="1"/>
  <c r="P22" i="21"/>
  <c r="B23" i="21"/>
  <c r="O22" i="21"/>
  <c r="E22" i="21"/>
  <c r="F22" i="21" s="1"/>
  <c r="G21" i="21"/>
  <c r="B24" i="21" l="1"/>
  <c r="O23" i="21"/>
  <c r="P23" i="21"/>
  <c r="C24" i="21"/>
  <c r="G22" i="21"/>
  <c r="E23" i="21"/>
  <c r="F23" i="21" s="1"/>
  <c r="C25" i="21" l="1"/>
  <c r="B25" i="21"/>
  <c r="P24" i="21"/>
  <c r="O24" i="21"/>
  <c r="G23" i="21"/>
  <c r="E24" i="21"/>
  <c r="F24" i="21" s="1"/>
  <c r="C26" i="21" l="1"/>
  <c r="O25" i="21"/>
  <c r="B26" i="21"/>
  <c r="P25" i="21"/>
  <c r="G24" i="21"/>
  <c r="E25" i="21"/>
  <c r="F25" i="21" s="1"/>
  <c r="O26" i="21" l="1"/>
  <c r="B27" i="21"/>
  <c r="P26" i="21"/>
  <c r="C27" i="21"/>
  <c r="E26" i="21"/>
  <c r="F26" i="21" s="1"/>
  <c r="G25" i="21"/>
  <c r="C28" i="21" l="1"/>
  <c r="P27" i="21"/>
  <c r="B28" i="21"/>
  <c r="O27" i="21"/>
  <c r="G26" i="21"/>
  <c r="E27" i="21"/>
  <c r="F27" i="21" s="1"/>
  <c r="C29" i="21" l="1"/>
  <c r="O28" i="21"/>
  <c r="B29" i="21"/>
  <c r="P28" i="21"/>
  <c r="G27" i="21"/>
  <c r="E28" i="21"/>
  <c r="F28" i="21" s="1"/>
  <c r="O29" i="21" l="1"/>
  <c r="B30" i="21"/>
  <c r="P29" i="21"/>
  <c r="C30" i="21"/>
  <c r="G28" i="21"/>
  <c r="E29" i="21"/>
  <c r="F29" i="21" s="1"/>
  <c r="C31" i="21" l="1"/>
  <c r="P30" i="21"/>
  <c r="B31" i="21"/>
  <c r="O30" i="21"/>
  <c r="G29" i="21"/>
  <c r="E30" i="21"/>
  <c r="F30" i="21" s="1"/>
  <c r="O31" i="21" l="1"/>
  <c r="P31" i="21"/>
  <c r="B32" i="21"/>
  <c r="C32" i="21"/>
  <c r="G30" i="21"/>
  <c r="E31" i="21"/>
  <c r="F31" i="21" s="1"/>
  <c r="C33" i="21" l="1"/>
  <c r="O32" i="21"/>
  <c r="P32" i="21"/>
  <c r="B33" i="21"/>
  <c r="E32" i="21"/>
  <c r="F32" i="21" s="1"/>
  <c r="G31" i="21"/>
  <c r="O33" i="21" l="1"/>
  <c r="B34" i="21"/>
  <c r="P33" i="21"/>
  <c r="C34" i="21"/>
  <c r="E33" i="21"/>
  <c r="F33" i="21" s="1"/>
  <c r="G32" i="21"/>
  <c r="C35" i="21" l="1"/>
  <c r="B35" i="21"/>
  <c r="O34" i="21"/>
  <c r="P34" i="21"/>
  <c r="E34" i="21"/>
  <c r="F34" i="21" s="1"/>
  <c r="G33" i="21"/>
  <c r="B36" i="21" l="1"/>
  <c r="O35" i="21"/>
  <c r="P35" i="21"/>
  <c r="C36" i="21"/>
  <c r="G34" i="21"/>
  <c r="E35" i="21"/>
  <c r="F35" i="21" s="1"/>
  <c r="C37" i="21" l="1"/>
  <c r="O36" i="21"/>
  <c r="P36" i="21"/>
  <c r="B37" i="21"/>
  <c r="G35" i="21"/>
  <c r="E36" i="21"/>
  <c r="F36" i="21" s="1"/>
  <c r="T19" i="19" l="1"/>
  <c r="M22" i="19"/>
  <c r="M23" i="19"/>
  <c r="C38" i="21"/>
  <c r="P37" i="21"/>
  <c r="B38" i="21"/>
  <c r="O37" i="21"/>
  <c r="E37" i="21"/>
  <c r="F37" i="21" s="1"/>
  <c r="G36" i="21"/>
  <c r="C39" i="21" l="1"/>
  <c r="B39" i="21"/>
  <c r="P38" i="21"/>
  <c r="O38" i="21"/>
  <c r="E38" i="21"/>
  <c r="F38" i="21" s="1"/>
  <c r="G37" i="21"/>
  <c r="C40" i="21" l="1"/>
  <c r="P39" i="21"/>
  <c r="O39" i="21"/>
  <c r="B40" i="21"/>
  <c r="E39" i="21"/>
  <c r="F39" i="21" s="1"/>
  <c r="G38" i="21"/>
  <c r="C41" i="21" l="1"/>
  <c r="P40" i="21"/>
  <c r="O40" i="21"/>
  <c r="B41" i="21"/>
  <c r="G39" i="21"/>
  <c r="E40" i="21"/>
  <c r="F40" i="21" s="1"/>
  <c r="P41" i="21" l="1"/>
  <c r="O41" i="21"/>
  <c r="B42" i="21"/>
  <c r="C42" i="21"/>
  <c r="G40" i="21"/>
  <c r="E41" i="21"/>
  <c r="F41" i="21" s="1"/>
  <c r="C43" i="21" l="1"/>
  <c r="P42" i="21"/>
  <c r="B43" i="21"/>
  <c r="O42" i="21"/>
  <c r="E42" i="21"/>
  <c r="F42" i="21" s="1"/>
  <c r="G41" i="21"/>
  <c r="O43" i="21" l="1"/>
  <c r="B44" i="21"/>
  <c r="P43" i="21"/>
  <c r="C44" i="21"/>
  <c r="E43" i="21"/>
  <c r="F43" i="21" s="1"/>
  <c r="G42" i="21"/>
  <c r="C45" i="21" l="1"/>
  <c r="O44" i="21"/>
  <c r="P44" i="21"/>
  <c r="B45" i="21"/>
  <c r="G43" i="21"/>
  <c r="E44" i="21"/>
  <c r="F44" i="21" s="1"/>
  <c r="P45" i="21" l="1"/>
  <c r="O45" i="21"/>
  <c r="B46" i="21"/>
  <c r="C46" i="21"/>
  <c r="G44" i="21"/>
  <c r="E45" i="21"/>
  <c r="F45" i="21" s="1"/>
  <c r="B47" i="21" l="1"/>
  <c r="P46" i="21"/>
  <c r="O46" i="21"/>
  <c r="C47" i="21"/>
  <c r="G45" i="21"/>
  <c r="E46" i="21"/>
  <c r="F46" i="21" s="1"/>
  <c r="C48" i="21" l="1"/>
  <c r="P47" i="21"/>
  <c r="O47" i="21"/>
  <c r="B48" i="21"/>
  <c r="G46" i="21"/>
  <c r="E47" i="21"/>
  <c r="F47" i="21" s="1"/>
  <c r="B49" i="21" l="1"/>
  <c r="P48" i="21"/>
  <c r="O48" i="21"/>
  <c r="C49" i="21"/>
  <c r="E48" i="21"/>
  <c r="F48" i="21" s="1"/>
  <c r="G47" i="21"/>
  <c r="B50" i="21" l="1"/>
  <c r="P49" i="21"/>
  <c r="O49" i="21"/>
  <c r="C50" i="21"/>
  <c r="E49" i="21"/>
  <c r="F49" i="21" s="1"/>
  <c r="G48" i="21"/>
  <c r="B51" i="21" l="1"/>
  <c r="O50" i="21"/>
  <c r="P50" i="21"/>
  <c r="C51" i="21"/>
  <c r="G49" i="21"/>
  <c r="E50" i="21"/>
  <c r="F50" i="21" s="1"/>
  <c r="C52" i="21" l="1"/>
  <c r="P51" i="21"/>
  <c r="B52" i="21"/>
  <c r="O51" i="21"/>
  <c r="G50" i="21"/>
  <c r="E51" i="21"/>
  <c r="F51" i="21" s="1"/>
  <c r="C53" i="21" l="1"/>
  <c r="O52" i="21"/>
  <c r="P52" i="21"/>
  <c r="B53" i="21"/>
  <c r="E52" i="21"/>
  <c r="F52" i="21" s="1"/>
  <c r="G51" i="21"/>
  <c r="C54" i="21" l="1"/>
  <c r="B54" i="21"/>
  <c r="O53" i="21"/>
  <c r="P53" i="21"/>
  <c r="G52" i="21"/>
  <c r="E53" i="21"/>
  <c r="F53" i="21" s="1"/>
  <c r="P54" i="21" l="1"/>
  <c r="B55" i="21"/>
  <c r="O54" i="21"/>
  <c r="C55" i="21"/>
  <c r="G53" i="21"/>
  <c r="E54" i="21"/>
  <c r="F54" i="21" s="1"/>
  <c r="C56" i="21" l="1"/>
  <c r="B56" i="21"/>
  <c r="O55" i="21"/>
  <c r="P55" i="21"/>
  <c r="E55" i="21"/>
  <c r="F55" i="21" s="1"/>
  <c r="G54" i="21"/>
  <c r="C57" i="21" l="1"/>
  <c r="P56" i="21"/>
  <c r="B57" i="21"/>
  <c r="O56" i="21"/>
  <c r="G55" i="21"/>
  <c r="E56" i="21"/>
  <c r="F56" i="21" s="1"/>
  <c r="B58" i="21" l="1"/>
  <c r="P57" i="21"/>
  <c r="O57" i="21"/>
  <c r="C58" i="21"/>
  <c r="G56" i="21"/>
  <c r="E57" i="21"/>
  <c r="F57" i="21" s="1"/>
  <c r="C59" i="21" l="1"/>
  <c r="B59" i="21"/>
  <c r="O58" i="21"/>
  <c r="P58" i="21"/>
  <c r="E58" i="21"/>
  <c r="F58" i="21" s="1"/>
  <c r="G57" i="21"/>
  <c r="C60" i="21" l="1"/>
  <c r="P59" i="21"/>
  <c r="B60" i="21"/>
  <c r="O59" i="21"/>
  <c r="G58" i="21"/>
  <c r="E59" i="21"/>
  <c r="F59" i="21" s="1"/>
  <c r="C61" i="21" l="1"/>
  <c r="P60" i="21"/>
  <c r="B61" i="21"/>
  <c r="O60" i="21"/>
  <c r="G59" i="21"/>
  <c r="E60" i="21"/>
  <c r="F60" i="21" s="1"/>
  <c r="C62" i="21" l="1"/>
  <c r="O61" i="21"/>
  <c r="B62" i="21"/>
  <c r="P61" i="21"/>
  <c r="E61" i="21"/>
  <c r="F61" i="21" s="1"/>
  <c r="G60" i="21"/>
  <c r="C63" i="21" l="1"/>
  <c r="P62" i="21"/>
  <c r="B63" i="21"/>
  <c r="O62" i="21"/>
  <c r="G61" i="21"/>
  <c r="E62" i="21"/>
  <c r="F62" i="21" s="1"/>
  <c r="B64" i="21" l="1"/>
  <c r="P63" i="21"/>
  <c r="O63" i="21"/>
  <c r="C64" i="21"/>
  <c r="G62" i="21"/>
  <c r="E63" i="21"/>
  <c r="F63" i="21" s="1"/>
  <c r="P64" i="21" l="1"/>
  <c r="B65" i="21"/>
  <c r="O64" i="21"/>
  <c r="C65" i="21"/>
  <c r="G63" i="21"/>
  <c r="E64" i="21"/>
  <c r="F64" i="21" s="1"/>
  <c r="C66" i="21" l="1"/>
  <c r="O65" i="21"/>
  <c r="B66" i="21"/>
  <c r="P65" i="21"/>
  <c r="G64" i="21"/>
  <c r="E65" i="21"/>
  <c r="F65" i="21" s="1"/>
  <c r="C67" i="21" l="1"/>
  <c r="B67" i="21"/>
  <c r="P66" i="21"/>
  <c r="O66" i="21"/>
  <c r="E66" i="21"/>
  <c r="F66" i="21" s="1"/>
  <c r="G65" i="21"/>
  <c r="C68" i="21" l="1"/>
  <c r="P67" i="21"/>
  <c r="O67" i="21"/>
  <c r="B68" i="21"/>
  <c r="G66" i="21"/>
  <c r="E67" i="21"/>
  <c r="F67" i="21" s="1"/>
  <c r="O68" i="21" l="1"/>
  <c r="B69" i="21"/>
  <c r="P68" i="21"/>
  <c r="C69" i="21"/>
  <c r="G67" i="21"/>
  <c r="E68" i="21"/>
  <c r="F68" i="21" s="1"/>
  <c r="O69" i="21" l="1"/>
  <c r="P69" i="21"/>
  <c r="C70" i="21"/>
  <c r="B70" i="21"/>
  <c r="E69" i="21"/>
  <c r="F69" i="21" s="1"/>
  <c r="G69" i="21" s="1"/>
  <c r="G68" i="21"/>
  <c r="E70" i="21" l="1"/>
  <c r="F70" i="21" s="1"/>
  <c r="G70" i="21" s="1"/>
  <c r="P70" i="21"/>
  <c r="B71" i="21"/>
  <c r="O70" i="21"/>
  <c r="C71" i="21"/>
  <c r="E71" i="21" l="1"/>
  <c r="F71" i="21" s="1"/>
  <c r="G71" i="21" s="1"/>
  <c r="C72" i="21"/>
  <c r="B72" i="21"/>
  <c r="P71" i="21"/>
  <c r="O71" i="21"/>
  <c r="E72" i="21" l="1"/>
  <c r="F72" i="21" s="1"/>
  <c r="G72" i="21" s="1"/>
  <c r="O72" i="21"/>
  <c r="P72" i="21"/>
  <c r="C73" i="21"/>
  <c r="B73" i="21"/>
  <c r="E73" i="21" l="1"/>
  <c r="F73" i="21" s="1"/>
  <c r="G73" i="21" s="1"/>
  <c r="B74" i="21"/>
  <c r="C74" i="21"/>
  <c r="O73" i="21"/>
  <c r="P73" i="21"/>
  <c r="E74" i="21" l="1"/>
  <c r="F74" i="21" s="1"/>
  <c r="G74" i="21" s="1"/>
  <c r="O74" i="21"/>
  <c r="B75" i="21"/>
  <c r="P74" i="21"/>
  <c r="C75" i="21"/>
  <c r="E75" i="21" l="1"/>
  <c r="F75" i="21" s="1"/>
  <c r="G75" i="21" s="1"/>
  <c r="B76" i="21"/>
  <c r="O75" i="21"/>
  <c r="P75" i="21"/>
  <c r="C76" i="21"/>
  <c r="E76" i="21"/>
  <c r="F76" i="21" s="1"/>
  <c r="G76" i="21" s="1"/>
  <c r="C77" i="21" l="1"/>
  <c r="P76" i="21"/>
  <c r="O76" i="21"/>
  <c r="B77" i="21"/>
  <c r="E77" i="21"/>
  <c r="F77" i="21" s="1"/>
  <c r="G77" i="21" s="1"/>
  <c r="C78" i="21" l="1"/>
  <c r="B78" i="21"/>
  <c r="P77" i="21"/>
  <c r="O77" i="21"/>
  <c r="E78" i="21"/>
  <c r="F78" i="21" s="1"/>
  <c r="G78" i="21" s="1"/>
  <c r="E79" i="21" l="1"/>
  <c r="F79" i="21" s="1"/>
  <c r="G79" i="21" s="1"/>
  <c r="O78" i="21"/>
  <c r="P78" i="21"/>
  <c r="B79" i="21"/>
  <c r="C79" i="21"/>
  <c r="B80" i="21" l="1"/>
  <c r="P79" i="21"/>
  <c r="E80" i="21"/>
  <c r="F80" i="21" s="1"/>
  <c r="G80" i="21" s="1"/>
  <c r="O79" i="21"/>
  <c r="C80" i="21"/>
  <c r="E81" i="21" l="1"/>
  <c r="F81" i="21" s="1"/>
  <c r="G81" i="21" s="1"/>
  <c r="C81" i="21"/>
  <c r="O80" i="21"/>
  <c r="B81" i="21"/>
  <c r="P80" i="21"/>
  <c r="P81" i="21" l="1"/>
  <c r="B82" i="21"/>
  <c r="C82" i="21"/>
  <c r="O81" i="21"/>
  <c r="E82" i="21"/>
  <c r="F82" i="21" s="1"/>
  <c r="G82" i="21" s="1"/>
  <c r="C83" i="21" l="1"/>
  <c r="P82" i="21"/>
  <c r="O82" i="21"/>
  <c r="E83" i="21"/>
  <c r="F83" i="21" s="1"/>
  <c r="G83" i="21" s="1"/>
  <c r="B83" i="21"/>
  <c r="C84" i="21" l="1"/>
  <c r="E84" i="21"/>
  <c r="F84" i="21" s="1"/>
  <c r="G84" i="21" s="1"/>
  <c r="P83" i="21"/>
  <c r="O83" i="21"/>
  <c r="B84" i="21"/>
  <c r="E85" i="21" l="1"/>
  <c r="F85" i="21" s="1"/>
  <c r="G85" i="21" s="1"/>
  <c r="P84" i="21"/>
  <c r="O84" i="21"/>
  <c r="B85" i="21"/>
  <c r="C85" i="21"/>
  <c r="B86" i="21" l="1"/>
  <c r="C86" i="21"/>
  <c r="O85" i="21"/>
  <c r="E86" i="21"/>
  <c r="F86" i="21" s="1"/>
  <c r="G86" i="21" s="1"/>
  <c r="P85" i="21"/>
  <c r="B87" i="21" l="1"/>
  <c r="P86" i="21"/>
  <c r="O86" i="21"/>
  <c r="E87" i="21"/>
  <c r="F87" i="21" s="1"/>
  <c r="G87" i="21" s="1"/>
  <c r="C87" i="21"/>
  <c r="E88" i="21" l="1"/>
  <c r="F88" i="21" s="1"/>
  <c r="G88" i="21" s="1"/>
  <c r="O87" i="21"/>
  <c r="B88" i="21"/>
  <c r="C88" i="21"/>
  <c r="P87" i="21"/>
  <c r="C89" i="21" l="1"/>
  <c r="P88" i="21"/>
  <c r="O88" i="21"/>
  <c r="E89" i="21"/>
  <c r="F89" i="21" s="1"/>
  <c r="G89" i="21" s="1"/>
  <c r="B89" i="21"/>
  <c r="E90" i="21" l="1"/>
  <c r="F90" i="21" s="1"/>
  <c r="G90" i="21" s="1"/>
  <c r="O89" i="21"/>
  <c r="P89" i="21"/>
  <c r="B90" i="21"/>
  <c r="C90" i="21"/>
  <c r="E91" i="21" l="1"/>
  <c r="P90" i="21"/>
  <c r="F91" i="21"/>
  <c r="G91" i="21" s="1"/>
  <c r="O90" i="21"/>
  <c r="C91" i="21"/>
  <c r="B91" i="21"/>
  <c r="B92" i="21" l="1"/>
  <c r="O91" i="21"/>
  <c r="C92" i="21"/>
  <c r="P91" i="21"/>
  <c r="E92" i="21"/>
  <c r="F92" i="21" s="1"/>
  <c r="G92" i="21" s="1"/>
  <c r="C93" i="21" l="1"/>
  <c r="O92" i="21"/>
  <c r="E93" i="21"/>
  <c r="F93" i="21" s="1"/>
  <c r="G93" i="21" s="1"/>
  <c r="P92" i="21"/>
  <c r="B93" i="21"/>
  <c r="B94" i="21" l="1"/>
  <c r="P93" i="21"/>
  <c r="C94" i="21"/>
  <c r="E94" i="21"/>
  <c r="F94" i="21" s="1"/>
  <c r="G94" i="21" s="1"/>
  <c r="O93" i="21"/>
  <c r="P94" i="21" l="1"/>
  <c r="C95" i="21"/>
  <c r="E95" i="21"/>
  <c r="F95" i="21" s="1"/>
  <c r="G95" i="21" s="1"/>
  <c r="B95" i="21"/>
  <c r="O94" i="21"/>
  <c r="O95" i="21" l="1"/>
  <c r="B96" i="21"/>
  <c r="E96" i="21"/>
  <c r="F96" i="21" s="1"/>
  <c r="G96" i="21" s="1"/>
  <c r="P95" i="21"/>
  <c r="C96" i="21"/>
  <c r="E97" i="21" l="1"/>
  <c r="C97" i="21"/>
  <c r="B97" i="21"/>
  <c r="O96" i="21"/>
  <c r="F97" i="21"/>
  <c r="G97" i="21" s="1"/>
  <c r="P96" i="21"/>
  <c r="P97" i="21" l="1"/>
  <c r="E98" i="21"/>
  <c r="F98" i="21" s="1"/>
  <c r="G98" i="21" s="1"/>
  <c r="C98" i="21"/>
  <c r="O97" i="21"/>
  <c r="B98" i="21"/>
  <c r="B99" i="21" l="1"/>
  <c r="O98" i="21"/>
  <c r="E99" i="21"/>
  <c r="F99" i="21" s="1"/>
  <c r="G99" i="21" s="1"/>
  <c r="P98" i="21"/>
  <c r="C99" i="21"/>
  <c r="P99" i="21" l="1"/>
  <c r="C100" i="21"/>
  <c r="B100" i="21"/>
  <c r="E100" i="21"/>
  <c r="F100" i="21" s="1"/>
  <c r="G100" i="21" s="1"/>
  <c r="O99" i="21"/>
  <c r="E101" i="21" l="1"/>
  <c r="P100" i="21"/>
  <c r="B101" i="21"/>
  <c r="C101" i="21"/>
  <c r="F101" i="21"/>
  <c r="G101" i="21" s="1"/>
  <c r="O100" i="21"/>
  <c r="O101" i="21" l="1"/>
  <c r="E102" i="21"/>
  <c r="F102" i="21" s="1"/>
  <c r="G102" i="21" s="1"/>
  <c r="C102" i="21"/>
  <c r="B102" i="21"/>
  <c r="P101" i="21"/>
  <c r="C103" i="21" l="1"/>
  <c r="P102" i="21"/>
  <c r="E103" i="21"/>
  <c r="F103" i="21" s="1"/>
  <c r="G103" i="21" s="1"/>
  <c r="B103" i="21"/>
  <c r="O102" i="21"/>
  <c r="P103" i="21" l="1"/>
  <c r="B104" i="21"/>
  <c r="E104" i="21"/>
  <c r="F104" i="21" s="1"/>
  <c r="G104" i="21" s="1"/>
  <c r="C104" i="21"/>
  <c r="O103" i="21"/>
  <c r="C105" i="21" l="1"/>
  <c r="E105" i="21"/>
  <c r="O104" i="21"/>
  <c r="P104" i="21"/>
  <c r="B105" i="21"/>
  <c r="F105" i="21"/>
  <c r="G105" i="21" s="1"/>
  <c r="B106" i="21" l="1"/>
  <c r="E106" i="21"/>
  <c r="F106" i="21" s="1"/>
  <c r="G106" i="21" s="1"/>
  <c r="C106" i="21"/>
  <c r="P105" i="21"/>
  <c r="O105" i="21"/>
  <c r="C107" i="21" l="1"/>
  <c r="B107" i="21"/>
  <c r="P106" i="21"/>
  <c r="O106" i="21"/>
  <c r="E107" i="21"/>
  <c r="F107" i="21" s="1"/>
  <c r="G107" i="21" s="1"/>
  <c r="E108" i="21" l="1"/>
  <c r="F108" i="21" s="1"/>
  <c r="G108" i="21" s="1"/>
  <c r="C108" i="21"/>
  <c r="O107" i="21"/>
  <c r="P107" i="21"/>
  <c r="B108" i="21"/>
  <c r="P108" i="21" l="1"/>
  <c r="C109" i="21"/>
  <c r="O108" i="21"/>
  <c r="B109" i="21"/>
  <c r="E109" i="21"/>
  <c r="F109" i="21" s="1"/>
  <c r="G109" i="21" s="1"/>
  <c r="E110" i="21" l="1"/>
  <c r="F110" i="21"/>
  <c r="G110" i="21" s="1"/>
  <c r="P109" i="21"/>
  <c r="O109" i="21"/>
  <c r="B110" i="21"/>
  <c r="C110" i="21"/>
  <c r="C111" i="21" l="1"/>
  <c r="O110" i="21"/>
  <c r="E111" i="21"/>
  <c r="F111" i="21"/>
  <c r="G111" i="21" s="1"/>
  <c r="P110" i="21"/>
  <c r="B111" i="21"/>
  <c r="O111" i="21" l="1"/>
  <c r="P111" i="21"/>
  <c r="E112" i="21"/>
  <c r="F112" i="21" s="1"/>
  <c r="G112" i="21" s="1"/>
  <c r="B112" i="21"/>
  <c r="C112" i="21"/>
  <c r="B113" i="21" l="1"/>
  <c r="C113" i="21"/>
  <c r="P112" i="21"/>
  <c r="E113" i="21"/>
  <c r="F113" i="21" s="1"/>
  <c r="G113" i="21" s="1"/>
  <c r="O112" i="21"/>
  <c r="C114" i="21" l="1"/>
  <c r="P113" i="21"/>
  <c r="O113" i="21"/>
  <c r="E114" i="21"/>
  <c r="F114" i="21" s="1"/>
  <c r="G114" i="21" s="1"/>
  <c r="B114" i="21"/>
  <c r="E115" i="21" l="1"/>
  <c r="F115" i="21"/>
  <c r="G115" i="21" s="1"/>
  <c r="P114" i="21"/>
  <c r="B115" i="21"/>
  <c r="O114" i="21"/>
  <c r="C115" i="21"/>
  <c r="O115" i="21" l="1"/>
  <c r="B116" i="21"/>
  <c r="P115" i="21"/>
  <c r="C116" i="21"/>
  <c r="E116" i="21"/>
  <c r="F116" i="21" s="1"/>
  <c r="G116" i="21" s="1"/>
  <c r="B117" i="21" l="1"/>
  <c r="C117" i="21"/>
  <c r="P116" i="21"/>
  <c r="E117" i="21"/>
  <c r="F117" i="21"/>
  <c r="G117" i="21" s="1"/>
  <c r="O116" i="21"/>
  <c r="B118" i="21" l="1"/>
  <c r="P117" i="21"/>
  <c r="E118" i="21"/>
  <c r="F118" i="21" s="1"/>
  <c r="G118" i="21" s="1"/>
  <c r="C118" i="21"/>
  <c r="O117" i="21"/>
  <c r="O118" i="21" l="1"/>
  <c r="P118" i="21"/>
  <c r="E119" i="21"/>
  <c r="F119" i="21" s="1"/>
  <c r="G119" i="21" s="1"/>
  <c r="C119" i="21"/>
  <c r="B119" i="21"/>
  <c r="P119" i="21" l="1"/>
  <c r="B120" i="21"/>
  <c r="C120" i="21"/>
  <c r="O119" i="21"/>
  <c r="E120" i="21"/>
  <c r="F120" i="21" s="1"/>
  <c r="G120" i="21" s="1"/>
  <c r="E121" i="21" l="1"/>
  <c r="F121" i="21" s="1"/>
  <c r="G121" i="21" s="1"/>
  <c r="P120" i="21"/>
  <c r="O120" i="21"/>
  <c r="B121" i="21"/>
  <c r="C121" i="21"/>
  <c r="E122" i="21" l="1"/>
  <c r="F122" i="21" s="1"/>
  <c r="G122" i="21" s="1"/>
  <c r="C122" i="21"/>
  <c r="O121" i="21"/>
  <c r="B122" i="21"/>
  <c r="P121" i="21"/>
  <c r="B123" i="21" l="1"/>
  <c r="E123" i="21"/>
  <c r="F123" i="21" s="1"/>
  <c r="G123" i="21" s="1"/>
  <c r="P122" i="21"/>
  <c r="O122" i="21"/>
  <c r="C123" i="21"/>
  <c r="C124" i="21" l="1"/>
  <c r="P123" i="21"/>
  <c r="O123" i="21"/>
  <c r="E124" i="21"/>
  <c r="F124" i="21" s="1"/>
  <c r="G124" i="21" s="1"/>
  <c r="B124" i="21"/>
  <c r="P124" i="21" l="1"/>
  <c r="C125" i="21"/>
  <c r="O124" i="21"/>
  <c r="B125" i="21"/>
  <c r="E125" i="21"/>
  <c r="F125" i="21" s="1"/>
  <c r="G125" i="21" s="1"/>
  <c r="C126" i="21" l="1"/>
  <c r="E126" i="21"/>
  <c r="F126" i="21" s="1"/>
  <c r="G126" i="21" s="1"/>
  <c r="O125" i="21"/>
  <c r="P125" i="21"/>
  <c r="B126" i="21"/>
  <c r="C127" i="21" l="1"/>
  <c r="O126" i="21"/>
  <c r="P126" i="21"/>
  <c r="E127" i="21"/>
  <c r="F127" i="21" s="1"/>
  <c r="G127" i="21" s="1"/>
  <c r="B127" i="21"/>
  <c r="P127" i="21" l="1"/>
  <c r="C128" i="21"/>
  <c r="O127" i="21"/>
  <c r="E128" i="21"/>
  <c r="F128" i="21" s="1"/>
  <c r="G128" i="21" s="1"/>
  <c r="B128" i="21"/>
  <c r="C129" i="21" l="1"/>
  <c r="B129" i="21"/>
  <c r="P128" i="21"/>
  <c r="E129" i="21"/>
  <c r="O128" i="21"/>
  <c r="F129" i="21"/>
  <c r="G129" i="21" s="1"/>
  <c r="J130" i="21" l="1"/>
  <c r="G130" i="21"/>
  <c r="I130" i="21"/>
  <c r="C130" i="21"/>
  <c r="P129" i="21"/>
  <c r="B130" i="21"/>
  <c r="E130" i="21"/>
  <c r="K130" i="21"/>
  <c r="O129" i="21"/>
  <c r="F130" i="21"/>
  <c r="J131" i="21" l="1"/>
  <c r="B131" i="21"/>
  <c r="Q130" i="21"/>
  <c r="F131" i="21"/>
  <c r="P130" i="21"/>
  <c r="O130" i="21"/>
  <c r="G131" i="21"/>
  <c r="S130" i="21"/>
  <c r="V130" i="21"/>
  <c r="I131" i="21"/>
  <c r="K131" i="21"/>
  <c r="C131" i="21"/>
  <c r="E131" i="21"/>
  <c r="L130" i="21" l="1"/>
  <c r="U130" i="21"/>
  <c r="T130" i="21"/>
  <c r="M130" i="21"/>
  <c r="G132" i="21"/>
  <c r="B132" i="21"/>
  <c r="I132" i="21"/>
  <c r="J132" i="21"/>
  <c r="K132" i="21"/>
  <c r="C132" i="21"/>
  <c r="Q131" i="21"/>
  <c r="O131" i="21"/>
  <c r="S131" i="21"/>
  <c r="P131" i="21"/>
  <c r="E132" i="21"/>
  <c r="V131" i="21"/>
  <c r="F132" i="21"/>
  <c r="T131" i="21" l="1"/>
  <c r="U131" i="21"/>
  <c r="M131" i="21"/>
  <c r="L131" i="21"/>
  <c r="G133" i="21"/>
  <c r="E133" i="21"/>
  <c r="V132" i="21"/>
  <c r="B133" i="21"/>
  <c r="J133" i="21"/>
  <c r="Q132" i="21"/>
  <c r="C133" i="21"/>
  <c r="I133" i="21"/>
  <c r="K133" i="21"/>
  <c r="F133" i="21"/>
  <c r="S132" i="21"/>
  <c r="P132" i="21"/>
  <c r="O132" i="21"/>
  <c r="O133" i="21" l="1"/>
  <c r="Q133" i="21"/>
  <c r="S133" i="21"/>
  <c r="F134" i="21"/>
  <c r="G134" i="21"/>
  <c r="C134" i="21"/>
  <c r="B134" i="21"/>
  <c r="V133" i="21"/>
  <c r="P133" i="21"/>
  <c r="E134" i="21"/>
  <c r="I134" i="21"/>
  <c r="K134" i="21"/>
  <c r="J134" i="21"/>
  <c r="U132" i="21"/>
  <c r="T132" i="21"/>
  <c r="L132" i="21"/>
  <c r="M132" i="21"/>
  <c r="P134" i="21" l="1"/>
  <c r="J135" i="21"/>
  <c r="K135" i="21"/>
  <c r="C135" i="21"/>
  <c r="I135" i="21"/>
  <c r="O134" i="21"/>
  <c r="E135" i="21"/>
  <c r="Q134" i="21"/>
  <c r="F135" i="21"/>
  <c r="S134" i="21"/>
  <c r="B135" i="21"/>
  <c r="G135" i="21"/>
  <c r="V134" i="21"/>
  <c r="L133" i="21"/>
  <c r="M133" i="21"/>
  <c r="T133" i="21"/>
  <c r="U133" i="21"/>
  <c r="M134" i="21" l="1"/>
  <c r="T134" i="21"/>
  <c r="U134" i="21"/>
  <c r="L134" i="21"/>
  <c r="C136" i="21"/>
  <c r="B136" i="21"/>
  <c r="Q135" i="21"/>
  <c r="P135" i="21"/>
  <c r="V135" i="21"/>
  <c r="J136" i="21"/>
  <c r="K136" i="21"/>
  <c r="E136" i="21"/>
  <c r="F136" i="21"/>
  <c r="G136" i="21"/>
  <c r="S135" i="21"/>
  <c r="I136" i="21"/>
  <c r="O135" i="21"/>
  <c r="T135" i="21" l="1"/>
  <c r="U135" i="21"/>
  <c r="L135" i="21"/>
  <c r="M135" i="21"/>
  <c r="J137" i="21"/>
  <c r="E137" i="21"/>
  <c r="S136" i="21"/>
  <c r="O136" i="21"/>
  <c r="P136" i="21"/>
  <c r="K137" i="21"/>
  <c r="B137" i="21"/>
  <c r="Q136" i="21"/>
  <c r="I137" i="21"/>
  <c r="F137" i="21"/>
  <c r="V136" i="21"/>
  <c r="C137" i="21"/>
  <c r="G137" i="21"/>
  <c r="O137" i="21" l="1"/>
  <c r="E138" i="21"/>
  <c r="Q137" i="21"/>
  <c r="I138" i="21"/>
  <c r="F138" i="21"/>
  <c r="P137" i="21"/>
  <c r="S137" i="21"/>
  <c r="B138" i="21"/>
  <c r="J138" i="21"/>
  <c r="C138" i="21"/>
  <c r="G138" i="21"/>
  <c r="V137" i="21"/>
  <c r="K138" i="21"/>
  <c r="U136" i="21"/>
  <c r="L136" i="21"/>
  <c r="T136" i="21"/>
  <c r="M136" i="21"/>
  <c r="T137" i="21" l="1"/>
  <c r="U137" i="21"/>
  <c r="M137" i="21"/>
  <c r="L137" i="21"/>
  <c r="F139" i="21"/>
  <c r="J139" i="21"/>
  <c r="K139" i="21"/>
  <c r="S138" i="21"/>
  <c r="P138" i="21"/>
  <c r="G139" i="21"/>
  <c r="C139" i="21"/>
  <c r="V138" i="21"/>
  <c r="O138" i="21"/>
  <c r="E139" i="21"/>
  <c r="Q138" i="21"/>
  <c r="I139" i="21"/>
  <c r="B139" i="21"/>
  <c r="M138" i="21" l="1"/>
  <c r="U138" i="21"/>
  <c r="L138" i="21"/>
  <c r="T138" i="21"/>
  <c r="C140" i="21"/>
  <c r="J140" i="21"/>
  <c r="K140" i="21"/>
  <c r="B140" i="21"/>
  <c r="V139" i="21"/>
  <c r="O139" i="21"/>
  <c r="Q139" i="21"/>
  <c r="E140" i="21"/>
  <c r="G140" i="21"/>
  <c r="P139" i="21"/>
  <c r="I140" i="21"/>
  <c r="F140" i="21"/>
  <c r="S139" i="21"/>
  <c r="F141" i="21" l="1"/>
  <c r="J141" i="21"/>
  <c r="Q140" i="21"/>
  <c r="B141" i="21"/>
  <c r="C141" i="21"/>
  <c r="K141" i="21"/>
  <c r="O140" i="21"/>
  <c r="P140" i="21"/>
  <c r="I141" i="21"/>
  <c r="E141" i="21"/>
  <c r="V140" i="21"/>
  <c r="S140" i="21"/>
  <c r="G141" i="21"/>
  <c r="L139" i="21"/>
  <c r="M139" i="21"/>
  <c r="T139" i="21"/>
  <c r="U139" i="21"/>
  <c r="T140" i="21" l="1"/>
  <c r="L140" i="21"/>
  <c r="U140" i="21"/>
  <c r="M140" i="21"/>
  <c r="G142" i="21"/>
  <c r="F142" i="21"/>
  <c r="S141" i="21"/>
  <c r="I142" i="21"/>
  <c r="O141" i="21"/>
  <c r="B142" i="21"/>
  <c r="K142" i="21"/>
  <c r="J142" i="21"/>
  <c r="Q141" i="21"/>
  <c r="E142" i="21"/>
  <c r="V141" i="21"/>
  <c r="P141" i="21"/>
  <c r="C142" i="21"/>
  <c r="E143" i="21" l="1"/>
  <c r="O142" i="21"/>
  <c r="K143" i="21"/>
  <c r="G143" i="21"/>
  <c r="F143" i="21"/>
  <c r="Q142" i="21"/>
  <c r="V142" i="21"/>
  <c r="B143" i="21"/>
  <c r="C143" i="21"/>
  <c r="J143" i="21"/>
  <c r="I143" i="21"/>
  <c r="P142" i="21"/>
  <c r="S142" i="21"/>
  <c r="T141" i="21"/>
  <c r="L141" i="21"/>
  <c r="U141" i="21"/>
  <c r="M141" i="21"/>
  <c r="L142" i="21" l="1"/>
  <c r="U142" i="21"/>
  <c r="M142" i="21"/>
  <c r="T142" i="21"/>
  <c r="B144" i="21"/>
  <c r="C144" i="21"/>
  <c r="S143" i="21"/>
  <c r="O143" i="21"/>
  <c r="G144" i="21"/>
  <c r="Q143" i="21"/>
  <c r="I144" i="21"/>
  <c r="J144" i="21"/>
  <c r="K144" i="21"/>
  <c r="F144" i="21"/>
  <c r="V143" i="21"/>
  <c r="P143" i="21"/>
  <c r="E144" i="21"/>
  <c r="L143" i="21" l="1"/>
  <c r="T143" i="21"/>
  <c r="M143" i="21"/>
  <c r="U143" i="21"/>
  <c r="G145" i="21"/>
  <c r="F145" i="21"/>
  <c r="S144" i="21"/>
  <c r="I145" i="21"/>
  <c r="O144" i="21"/>
  <c r="C145" i="21"/>
  <c r="Q144" i="21"/>
  <c r="B145" i="21"/>
  <c r="P144" i="21"/>
  <c r="J145" i="21"/>
  <c r="K145" i="21"/>
  <c r="E145" i="21"/>
  <c r="V144" i="21"/>
  <c r="B146" i="21" l="1"/>
  <c r="O145" i="21"/>
  <c r="I146" i="21"/>
  <c r="P145" i="21"/>
  <c r="C146" i="21"/>
  <c r="Q145" i="21"/>
  <c r="S145" i="21"/>
  <c r="E146" i="21"/>
  <c r="G146" i="21"/>
  <c r="F146" i="21"/>
  <c r="K146" i="21"/>
  <c r="V145" i="21"/>
  <c r="J146" i="21"/>
  <c r="L144" i="21"/>
  <c r="M144" i="21"/>
  <c r="T144" i="21"/>
  <c r="U144" i="21"/>
  <c r="E147" i="21" l="1"/>
  <c r="C147" i="21"/>
  <c r="V146" i="21"/>
  <c r="Q146" i="21"/>
  <c r="G147" i="21"/>
  <c r="P146" i="21"/>
  <c r="I147" i="21"/>
  <c r="O146" i="21"/>
  <c r="K147" i="21"/>
  <c r="J147" i="21"/>
  <c r="S146" i="21"/>
  <c r="F147" i="21"/>
  <c r="B147" i="21"/>
  <c r="M145" i="21"/>
  <c r="T145" i="21"/>
  <c r="U145" i="21"/>
  <c r="L145" i="21"/>
  <c r="B148" i="21" l="1"/>
  <c r="E148" i="21"/>
  <c r="V147" i="21"/>
  <c r="J148" i="21"/>
  <c r="G148" i="21"/>
  <c r="I148" i="21"/>
  <c r="C148" i="21"/>
  <c r="F148" i="21"/>
  <c r="Q147" i="21"/>
  <c r="P147" i="21"/>
  <c r="K148" i="21"/>
  <c r="O147" i="21"/>
  <c r="S147" i="21"/>
  <c r="T146" i="21"/>
  <c r="M146" i="21"/>
  <c r="L146" i="21"/>
  <c r="U146" i="21"/>
  <c r="L147" i="21" l="1"/>
  <c r="T147" i="21"/>
  <c r="U147" i="21"/>
  <c r="M147" i="21"/>
  <c r="G149" i="21"/>
  <c r="O148" i="21"/>
  <c r="I149" i="21"/>
  <c r="F149" i="21"/>
  <c r="C149" i="21"/>
  <c r="V148" i="21"/>
  <c r="K149" i="21"/>
  <c r="P148" i="21"/>
  <c r="Q148" i="21"/>
  <c r="B149" i="21"/>
  <c r="S148" i="21"/>
  <c r="J149" i="21"/>
  <c r="E149" i="21"/>
  <c r="L148" i="21" l="1"/>
  <c r="M148" i="21"/>
  <c r="U148" i="21"/>
  <c r="T148" i="21"/>
  <c r="C150" i="21"/>
  <c r="B150" i="21"/>
  <c r="Q149" i="21"/>
  <c r="G150" i="21"/>
  <c r="F150" i="21"/>
  <c r="I150" i="21"/>
  <c r="V149" i="21"/>
  <c r="E150" i="21"/>
  <c r="S149" i="21"/>
  <c r="J150" i="21"/>
  <c r="K150" i="21"/>
  <c r="O149" i="21"/>
  <c r="P149" i="21"/>
  <c r="E151" i="21" l="1"/>
  <c r="P150" i="21"/>
  <c r="I151" i="21"/>
  <c r="J151" i="21"/>
  <c r="F151" i="21"/>
  <c r="K151" i="21"/>
  <c r="G151" i="21"/>
  <c r="S150" i="21"/>
  <c r="O150" i="21"/>
  <c r="V150" i="21"/>
  <c r="B151" i="21"/>
  <c r="C151" i="21"/>
  <c r="Q150" i="21"/>
  <c r="L149" i="21"/>
  <c r="T149" i="21"/>
  <c r="U149" i="21"/>
  <c r="M149" i="21"/>
  <c r="U150" i="21" l="1"/>
  <c r="M150" i="21"/>
  <c r="L150" i="21"/>
  <c r="T150" i="21"/>
  <c r="P151" i="21"/>
  <c r="C152" i="21"/>
  <c r="V151" i="21"/>
  <c r="Q151" i="21"/>
  <c r="F152" i="21"/>
  <c r="O151" i="21"/>
  <c r="I152" i="21"/>
  <c r="J152" i="21"/>
  <c r="E152" i="21"/>
  <c r="B152" i="21"/>
  <c r="K152" i="21"/>
  <c r="S151" i="21"/>
  <c r="G152" i="21"/>
  <c r="T151" i="21" l="1"/>
  <c r="U151" i="21"/>
  <c r="L151" i="21"/>
  <c r="M151" i="21"/>
  <c r="G153" i="21"/>
  <c r="F153" i="21"/>
  <c r="Q152" i="21"/>
  <c r="B153" i="21"/>
  <c r="J153" i="21"/>
  <c r="V152" i="21"/>
  <c r="S152" i="21"/>
  <c r="C153" i="21"/>
  <c r="I153" i="21"/>
  <c r="P152" i="21"/>
  <c r="K153" i="21"/>
  <c r="O152" i="21"/>
  <c r="E153" i="21"/>
  <c r="M152" i="21" l="1"/>
  <c r="T152" i="21"/>
  <c r="U152" i="21"/>
  <c r="L152" i="21"/>
  <c r="E154" i="21"/>
  <c r="C154" i="21"/>
  <c r="Q153" i="21"/>
  <c r="V153" i="21"/>
  <c r="G154" i="21"/>
  <c r="P153" i="21"/>
  <c r="I154" i="21"/>
  <c r="O153" i="21"/>
  <c r="S153" i="21"/>
  <c r="J154" i="21"/>
  <c r="K154" i="21"/>
  <c r="F154" i="21"/>
  <c r="B154" i="21"/>
  <c r="F155" i="21" l="1"/>
  <c r="P154" i="21"/>
  <c r="K155" i="21"/>
  <c r="J155" i="21"/>
  <c r="G155" i="21"/>
  <c r="Q154" i="21"/>
  <c r="V154" i="21"/>
  <c r="B155" i="21"/>
  <c r="O154" i="21"/>
  <c r="C155" i="21"/>
  <c r="I155" i="21"/>
  <c r="E155" i="21"/>
  <c r="S154" i="21"/>
  <c r="U153" i="21"/>
  <c r="L153" i="21"/>
  <c r="T153" i="21"/>
  <c r="M153" i="21"/>
  <c r="C156" i="21" l="1"/>
  <c r="F156" i="21"/>
  <c r="S155" i="21"/>
  <c r="G156" i="21"/>
  <c r="J156" i="21"/>
  <c r="V155" i="21"/>
  <c r="K156" i="21"/>
  <c r="O155" i="21"/>
  <c r="E156" i="21"/>
  <c r="B156" i="21"/>
  <c r="I156" i="21"/>
  <c r="Q155" i="21"/>
  <c r="P155" i="21"/>
  <c r="U154" i="21"/>
  <c r="M154" i="21"/>
  <c r="L154" i="21"/>
  <c r="T154" i="21"/>
  <c r="L155" i="21" l="1"/>
  <c r="M155" i="21"/>
  <c r="U155" i="21"/>
  <c r="T155" i="21"/>
  <c r="J157" i="21"/>
  <c r="G157" i="21"/>
  <c r="Q156" i="21"/>
  <c r="O156" i="21"/>
  <c r="C157" i="21"/>
  <c r="S156" i="21"/>
  <c r="E157" i="21"/>
  <c r="I157" i="21"/>
  <c r="F157" i="21"/>
  <c r="K157" i="21"/>
  <c r="B157" i="21"/>
  <c r="P156" i="21"/>
  <c r="V156" i="21"/>
  <c r="E158" i="21" l="1"/>
  <c r="C158" i="21"/>
  <c r="Q157" i="21"/>
  <c r="F158" i="21"/>
  <c r="B158" i="21"/>
  <c r="I158" i="21"/>
  <c r="G158" i="21"/>
  <c r="S157" i="21"/>
  <c r="O157" i="21"/>
  <c r="K158" i="21"/>
  <c r="P157" i="21"/>
  <c r="V157" i="21"/>
  <c r="J158" i="21"/>
  <c r="L156" i="21"/>
  <c r="M156" i="21"/>
  <c r="U156" i="21"/>
  <c r="T156" i="21"/>
  <c r="T157" i="21" l="1"/>
  <c r="U157" i="21"/>
  <c r="M157" i="21"/>
  <c r="L157" i="21"/>
  <c r="J159" i="21"/>
  <c r="F159" i="21"/>
  <c r="V158" i="21"/>
  <c r="Q158" i="21"/>
  <c r="C159" i="21"/>
  <c r="G159" i="21"/>
  <c r="I159" i="21"/>
  <c r="O158" i="21"/>
  <c r="S158" i="21"/>
  <c r="E159" i="21"/>
  <c r="K159" i="21"/>
  <c r="B159" i="21"/>
  <c r="P158" i="21"/>
  <c r="O159" i="21" l="1"/>
  <c r="G160" i="21"/>
  <c r="Q159" i="21"/>
  <c r="J160" i="21"/>
  <c r="C160" i="21"/>
  <c r="V159" i="21"/>
  <c r="K160" i="21"/>
  <c r="P159" i="21"/>
  <c r="E160" i="21"/>
  <c r="F160" i="21"/>
  <c r="I160" i="21"/>
  <c r="S159" i="21"/>
  <c r="B160" i="21"/>
  <c r="M158" i="21"/>
  <c r="T158" i="21"/>
  <c r="L158" i="21"/>
  <c r="U158" i="21"/>
  <c r="M159" i="21" l="1"/>
  <c r="U159" i="21"/>
  <c r="L159" i="21"/>
  <c r="T159" i="21"/>
  <c r="E161" i="21"/>
  <c r="O160" i="21"/>
  <c r="S160" i="21"/>
  <c r="F161" i="21"/>
  <c r="C161" i="21"/>
  <c r="K161" i="21"/>
  <c r="P160" i="21"/>
  <c r="V160" i="21"/>
  <c r="J161" i="21"/>
  <c r="I161" i="21"/>
  <c r="G161" i="21"/>
  <c r="Q160" i="21"/>
  <c r="B161" i="21"/>
  <c r="L160" i="21" l="1"/>
  <c r="T160" i="21"/>
  <c r="M160" i="21"/>
  <c r="U160" i="21"/>
  <c r="P161" i="21"/>
  <c r="G162" i="21"/>
  <c r="I162" i="21"/>
  <c r="O161" i="21"/>
  <c r="B162" i="21"/>
  <c r="Q161" i="21"/>
  <c r="C162" i="21"/>
  <c r="J162" i="21"/>
  <c r="V161" i="21"/>
  <c r="E162" i="21"/>
  <c r="S161" i="21"/>
  <c r="K162" i="21"/>
  <c r="F162" i="21"/>
  <c r="L161" i="21" l="1"/>
  <c r="T161" i="21"/>
  <c r="M161" i="21"/>
  <c r="U161" i="21"/>
  <c r="E163" i="21"/>
  <c r="F163" i="21"/>
  <c r="Q162" i="21"/>
  <c r="I163" i="21"/>
  <c r="J163" i="21"/>
  <c r="G163" i="21"/>
  <c r="K163" i="21"/>
  <c r="P162" i="21"/>
  <c r="O162" i="21"/>
  <c r="C163" i="21"/>
  <c r="S162" i="21"/>
  <c r="B163" i="21"/>
  <c r="V162" i="21"/>
  <c r="B164" i="21" l="1"/>
  <c r="P163" i="21"/>
  <c r="V163" i="21"/>
  <c r="S163" i="21"/>
  <c r="O163" i="21"/>
  <c r="E164" i="21"/>
  <c r="I164" i="21"/>
  <c r="F164" i="21"/>
  <c r="G164" i="21"/>
  <c r="C164" i="21"/>
  <c r="Q163" i="21"/>
  <c r="K164" i="21"/>
  <c r="J164" i="21"/>
  <c r="T162" i="21"/>
  <c r="U162" i="21"/>
  <c r="L162" i="21"/>
  <c r="M162" i="21"/>
  <c r="T163" i="21" l="1"/>
  <c r="U163" i="21"/>
  <c r="M163" i="21"/>
  <c r="L163" i="21"/>
  <c r="P164" i="21"/>
  <c r="E165" i="21"/>
  <c r="V164" i="21"/>
  <c r="G165" i="21"/>
  <c r="B165" i="21"/>
  <c r="I165" i="21"/>
  <c r="S164" i="21"/>
  <c r="O164" i="21"/>
  <c r="Q164" i="21"/>
  <c r="C165" i="21"/>
  <c r="K165" i="21"/>
  <c r="F165" i="21"/>
  <c r="J165" i="21"/>
  <c r="U164" i="21" l="1"/>
  <c r="T164" i="21"/>
  <c r="L164" i="21"/>
  <c r="M164" i="21"/>
  <c r="F166" i="21"/>
  <c r="O165" i="21"/>
  <c r="K166" i="21"/>
  <c r="P165" i="21"/>
  <c r="G166" i="21"/>
  <c r="Q165" i="21"/>
  <c r="V165" i="21"/>
  <c r="B166" i="21"/>
  <c r="C166" i="21"/>
  <c r="J166" i="21"/>
  <c r="S165" i="21"/>
  <c r="I166" i="21"/>
  <c r="E166" i="21"/>
  <c r="P166" i="21" l="1"/>
  <c r="G167" i="21"/>
  <c r="Q166" i="21"/>
  <c r="K167" i="21"/>
  <c r="B167" i="21"/>
  <c r="F167" i="21"/>
  <c r="V166" i="21"/>
  <c r="C167" i="21"/>
  <c r="J167" i="21"/>
  <c r="O166" i="21"/>
  <c r="I167" i="21"/>
  <c r="E167" i="21"/>
  <c r="S166" i="21"/>
  <c r="L165" i="21"/>
  <c r="U165" i="21"/>
  <c r="M165" i="21"/>
  <c r="T165" i="21"/>
  <c r="M166" i="21" l="1"/>
  <c r="U166" i="21"/>
  <c r="T166" i="21"/>
  <c r="L166" i="21"/>
  <c r="J168" i="21"/>
  <c r="F168" i="21"/>
  <c r="Q167" i="21"/>
  <c r="O167" i="21"/>
  <c r="B168" i="21"/>
  <c r="K168" i="21"/>
  <c r="C168" i="21"/>
  <c r="V167" i="21"/>
  <c r="G168" i="21"/>
  <c r="I168" i="21"/>
  <c r="P167" i="21"/>
  <c r="S167" i="21"/>
  <c r="E168" i="21"/>
  <c r="L167" i="21" l="1"/>
  <c r="U167" i="21"/>
  <c r="T167" i="21"/>
  <c r="M167" i="21"/>
  <c r="G169" i="21"/>
  <c r="F169" i="21"/>
  <c r="K169" i="21"/>
  <c r="C169" i="21"/>
  <c r="J169" i="21"/>
  <c r="Q168" i="21"/>
  <c r="P168" i="21"/>
  <c r="I169" i="21"/>
  <c r="O168" i="21"/>
  <c r="V168" i="21"/>
  <c r="B169" i="21"/>
  <c r="S168" i="21"/>
  <c r="E169" i="21"/>
  <c r="M168" i="21" l="1"/>
  <c r="T168" i="21"/>
  <c r="L168" i="21"/>
  <c r="U168" i="21"/>
  <c r="E170" i="21"/>
  <c r="P169" i="21"/>
  <c r="I170" i="21"/>
  <c r="F170" i="21"/>
  <c r="J170" i="21"/>
  <c r="K170" i="21"/>
  <c r="G170" i="21"/>
  <c r="V169" i="21"/>
  <c r="C170" i="21"/>
  <c r="B170" i="21"/>
  <c r="S169" i="21"/>
  <c r="O169" i="21"/>
  <c r="Q169" i="21"/>
  <c r="U169" i="21" l="1"/>
  <c r="T169" i="21"/>
  <c r="L169" i="21"/>
  <c r="M169" i="21"/>
  <c r="O170" i="21"/>
  <c r="E171" i="21"/>
  <c r="S170" i="21"/>
  <c r="F171" i="21"/>
  <c r="B171" i="21"/>
  <c r="K171" i="21"/>
  <c r="I171" i="21"/>
  <c r="C171" i="21"/>
  <c r="Q170" i="21"/>
  <c r="P170" i="21"/>
  <c r="V170" i="21"/>
  <c r="J171" i="21"/>
  <c r="G171" i="21"/>
  <c r="T170" i="21" l="1"/>
  <c r="M170" i="21"/>
  <c r="U170" i="21"/>
  <c r="L170" i="21"/>
  <c r="P171" i="21"/>
  <c r="B172" i="21"/>
  <c r="I172" i="21"/>
  <c r="Q171" i="21"/>
  <c r="E172" i="21"/>
  <c r="O171" i="21"/>
  <c r="S171" i="21"/>
  <c r="F172" i="21"/>
  <c r="K172" i="21"/>
  <c r="G172" i="21"/>
  <c r="V171" i="21"/>
  <c r="C172" i="21"/>
  <c r="J172" i="21"/>
  <c r="T171" i="21" l="1"/>
  <c r="U171" i="21"/>
  <c r="L171" i="21"/>
  <c r="M171" i="21"/>
  <c r="B173" i="21"/>
  <c r="J173" i="21"/>
  <c r="Q172" i="21"/>
  <c r="S172" i="21"/>
  <c r="P172" i="21"/>
  <c r="E173" i="21"/>
  <c r="V172" i="21"/>
  <c r="C173" i="21"/>
  <c r="I173" i="21"/>
  <c r="O172" i="21"/>
  <c r="K173" i="21"/>
  <c r="F173" i="21"/>
  <c r="G173" i="21"/>
  <c r="M172" i="21" l="1"/>
  <c r="L172" i="21"/>
  <c r="T172" i="21"/>
  <c r="U172" i="21"/>
  <c r="P173" i="21"/>
  <c r="B174" i="21"/>
  <c r="K174" i="21"/>
  <c r="G174" i="21"/>
  <c r="E174" i="21"/>
  <c r="V173" i="21"/>
  <c r="S173" i="21"/>
  <c r="F174" i="21"/>
  <c r="J174" i="21"/>
  <c r="O173" i="21"/>
  <c r="Q173" i="21"/>
  <c r="C174" i="21"/>
  <c r="I174" i="21"/>
  <c r="T173" i="21" l="1"/>
  <c r="L173" i="21"/>
  <c r="U173" i="21"/>
  <c r="M173" i="21"/>
  <c r="C175" i="21"/>
  <c r="E175" i="21"/>
  <c r="Q174" i="21"/>
  <c r="F175" i="21"/>
  <c r="O174" i="21"/>
  <c r="V174" i="21"/>
  <c r="S174" i="21"/>
  <c r="G175" i="21"/>
  <c r="P174" i="21"/>
  <c r="J175" i="21"/>
  <c r="I175" i="21"/>
  <c r="K175" i="21"/>
  <c r="B175" i="21"/>
  <c r="T174" i="21" l="1"/>
  <c r="M174" i="21"/>
  <c r="L174" i="21"/>
  <c r="U174" i="21"/>
  <c r="P175" i="21"/>
  <c r="C176" i="21"/>
  <c r="Q175" i="21"/>
  <c r="V175" i="21"/>
  <c r="E176" i="21"/>
  <c r="O175" i="21"/>
  <c r="I176" i="21"/>
  <c r="J176" i="21"/>
  <c r="S175" i="21"/>
  <c r="B176" i="21"/>
  <c r="K176" i="21"/>
  <c r="F176" i="21"/>
  <c r="G176" i="21"/>
  <c r="J177" i="21" l="1"/>
  <c r="G177" i="21"/>
  <c r="S176" i="21"/>
  <c r="B177" i="21"/>
  <c r="O176" i="21"/>
  <c r="Q176" i="21"/>
  <c r="I177" i="21"/>
  <c r="E177" i="21"/>
  <c r="F177" i="21"/>
  <c r="P176" i="21"/>
  <c r="K177" i="21"/>
  <c r="V176" i="21"/>
  <c r="C177" i="21"/>
  <c r="M175" i="21"/>
  <c r="L175" i="21"/>
  <c r="T175" i="21"/>
  <c r="U175" i="21"/>
  <c r="O177" i="21" l="1"/>
  <c r="F178" i="21"/>
  <c r="Q177" i="21"/>
  <c r="C178" i="21"/>
  <c r="P177" i="21"/>
  <c r="S177" i="21"/>
  <c r="B178" i="21"/>
  <c r="V177" i="21"/>
  <c r="E178" i="21"/>
  <c r="I178" i="21"/>
  <c r="J178" i="21"/>
  <c r="G178" i="21"/>
  <c r="K178" i="21"/>
  <c r="U176" i="21"/>
  <c r="L176" i="21"/>
  <c r="M176" i="21"/>
  <c r="T176" i="21"/>
  <c r="F179" i="21" l="1"/>
  <c r="C179" i="21"/>
  <c r="S178" i="21"/>
  <c r="E179" i="21"/>
  <c r="B179" i="21"/>
  <c r="V178" i="21"/>
  <c r="K179" i="21"/>
  <c r="G179" i="21"/>
  <c r="O178" i="21"/>
  <c r="J179" i="21"/>
  <c r="Q178" i="21"/>
  <c r="I179" i="21"/>
  <c r="P178" i="21"/>
  <c r="L177" i="21"/>
  <c r="M177" i="21"/>
  <c r="T177" i="21"/>
  <c r="U177" i="21"/>
  <c r="L178" i="21" l="1"/>
  <c r="T178" i="21"/>
  <c r="U178" i="21"/>
  <c r="M178" i="21"/>
  <c r="E180" i="21"/>
  <c r="O179" i="21"/>
  <c r="S179" i="21"/>
  <c r="F180" i="21"/>
  <c r="C180" i="21"/>
  <c r="I180" i="21"/>
  <c r="G180" i="21"/>
  <c r="Q179" i="21"/>
  <c r="B180" i="21"/>
  <c r="P179" i="21"/>
  <c r="K180" i="21"/>
  <c r="J180" i="21"/>
  <c r="V179" i="21"/>
  <c r="M179" i="21" l="1"/>
  <c r="U179" i="21"/>
  <c r="L179" i="21"/>
  <c r="T179" i="21"/>
  <c r="B181" i="21"/>
  <c r="P180" i="21"/>
  <c r="Q180" i="21"/>
  <c r="J181" i="21"/>
  <c r="C181" i="21"/>
  <c r="S180" i="21"/>
  <c r="F181" i="21"/>
  <c r="I181" i="21"/>
  <c r="O180" i="21"/>
  <c r="E181" i="21"/>
  <c r="K181" i="21"/>
  <c r="V180" i="21"/>
  <c r="G181" i="21"/>
  <c r="L180" i="21" l="1"/>
  <c r="T180" i="21"/>
  <c r="M180" i="21"/>
  <c r="U180" i="21"/>
  <c r="G182" i="21"/>
  <c r="B182" i="21"/>
  <c r="K182" i="21"/>
  <c r="C182" i="21"/>
  <c r="O181" i="21"/>
  <c r="V181" i="21"/>
  <c r="E182" i="21"/>
  <c r="S181" i="21"/>
  <c r="P181" i="21"/>
  <c r="J182" i="21"/>
  <c r="Q181" i="21"/>
  <c r="F182" i="21"/>
  <c r="I182" i="21"/>
  <c r="E183" i="21" l="1"/>
  <c r="G183" i="21"/>
  <c r="Q182" i="21"/>
  <c r="F183" i="21"/>
  <c r="J183" i="21"/>
  <c r="V182" i="21"/>
  <c r="P182" i="21"/>
  <c r="O182" i="21"/>
  <c r="S182" i="21"/>
  <c r="C183" i="21"/>
  <c r="I183" i="21"/>
  <c r="K183" i="21"/>
  <c r="B183" i="21"/>
  <c r="T181" i="21"/>
  <c r="U181" i="21"/>
  <c r="L181" i="21"/>
  <c r="M181" i="21"/>
  <c r="J184" i="21" l="1"/>
  <c r="G184" i="21"/>
  <c r="S183" i="21"/>
  <c r="O183" i="21"/>
  <c r="C184" i="21"/>
  <c r="V183" i="21"/>
  <c r="K184" i="21"/>
  <c r="E184" i="21"/>
  <c r="Q183" i="21"/>
  <c r="F184" i="21"/>
  <c r="I184" i="21"/>
  <c r="P183" i="21"/>
  <c r="B184" i="21"/>
  <c r="L182" i="21"/>
  <c r="U182" i="21"/>
  <c r="T182" i="21"/>
  <c r="M182" i="21"/>
  <c r="L183" i="21" l="1"/>
  <c r="T183" i="21"/>
  <c r="M183" i="21"/>
  <c r="U183" i="21"/>
  <c r="C185" i="21"/>
  <c r="P184" i="21"/>
  <c r="K185" i="21"/>
  <c r="E185" i="21"/>
  <c r="B185" i="21"/>
  <c r="V184" i="21"/>
  <c r="F185" i="21"/>
  <c r="I185" i="21"/>
  <c r="G185" i="21"/>
  <c r="S184" i="21"/>
  <c r="J185" i="21"/>
  <c r="Q184" i="21"/>
  <c r="O184" i="21"/>
  <c r="L184" i="21" l="1"/>
  <c r="T184" i="21"/>
  <c r="U184" i="21"/>
  <c r="M184" i="21"/>
  <c r="O185" i="21"/>
  <c r="J186" i="21"/>
  <c r="S185" i="21"/>
  <c r="E186" i="21"/>
  <c r="C186" i="21"/>
  <c r="K186" i="21"/>
  <c r="F186" i="21"/>
  <c r="Q185" i="21"/>
  <c r="G186" i="21"/>
  <c r="I186" i="21"/>
  <c r="B186" i="21"/>
  <c r="V185" i="21"/>
  <c r="P185" i="21"/>
  <c r="S70" i="21" l="1"/>
  <c r="J70" i="21"/>
  <c r="V70" i="21"/>
  <c r="B187" i="21"/>
  <c r="O186" i="21"/>
  <c r="K187" i="21"/>
  <c r="E187" i="21"/>
  <c r="C187" i="21"/>
  <c r="Q186" i="21"/>
  <c r="F187" i="21"/>
  <c r="S186" i="21"/>
  <c r="G187" i="21"/>
  <c r="I187" i="21"/>
  <c r="P186" i="21"/>
  <c r="V186" i="21"/>
  <c r="J187" i="21"/>
  <c r="M185" i="21"/>
  <c r="T185" i="21"/>
  <c r="L185" i="21"/>
  <c r="U185" i="21"/>
  <c r="I71" i="21" l="1"/>
  <c r="M70" i="21"/>
  <c r="T70" i="21"/>
  <c r="Q70" i="21" s="1"/>
  <c r="L70" i="21"/>
  <c r="U186" i="21"/>
  <c r="M186" i="21"/>
  <c r="T186" i="21"/>
  <c r="L186" i="21"/>
  <c r="G188" i="21"/>
  <c r="C188" i="21"/>
  <c r="B188" i="21"/>
  <c r="O187" i="21"/>
  <c r="Q187" i="21"/>
  <c r="K188" i="21"/>
  <c r="P187" i="21"/>
  <c r="J188" i="21"/>
  <c r="V187" i="21"/>
  <c r="E188" i="21"/>
  <c r="S187" i="21"/>
  <c r="F188" i="21"/>
  <c r="I188" i="21"/>
  <c r="U70" i="21" l="1"/>
  <c r="S71" i="21"/>
  <c r="K71" i="21"/>
  <c r="M187" i="21"/>
  <c r="U187" i="21"/>
  <c r="L187" i="21"/>
  <c r="T187" i="21"/>
  <c r="C189" i="21"/>
  <c r="J189" i="21"/>
  <c r="S188" i="21"/>
  <c r="E189" i="21"/>
  <c r="B189" i="21"/>
  <c r="I189" i="21"/>
  <c r="F189" i="21"/>
  <c r="O188" i="21"/>
  <c r="K189" i="21"/>
  <c r="V188" i="21"/>
  <c r="G189" i="21"/>
  <c r="P188" i="21"/>
  <c r="Q188" i="21"/>
  <c r="J71" i="21" l="1"/>
  <c r="M71" i="21" s="1"/>
  <c r="V71" i="21"/>
  <c r="M188" i="21"/>
  <c r="T188" i="21"/>
  <c r="U188" i="21"/>
  <c r="L188" i="21"/>
  <c r="B190" i="21"/>
  <c r="P189" i="21"/>
  <c r="K190" i="21"/>
  <c r="C190" i="21"/>
  <c r="F190" i="21"/>
  <c r="V189" i="21"/>
  <c r="O189" i="21"/>
  <c r="J190" i="21"/>
  <c r="I190" i="21"/>
  <c r="Q189" i="21"/>
  <c r="E190" i="21"/>
  <c r="G190" i="21"/>
  <c r="S189" i="21"/>
  <c r="L71" i="21" l="1"/>
  <c r="T71" i="21"/>
  <c r="U71" i="21" s="1"/>
  <c r="I72" i="21"/>
  <c r="U189" i="21"/>
  <c r="T189" i="21"/>
  <c r="M189" i="21"/>
  <c r="L189" i="21"/>
  <c r="E191" i="21"/>
  <c r="B191" i="21"/>
  <c r="Q190" i="21"/>
  <c r="F191" i="21"/>
  <c r="O190" i="21"/>
  <c r="V190" i="21"/>
  <c r="G191" i="21"/>
  <c r="P190" i="21"/>
  <c r="I191" i="21"/>
  <c r="J191" i="21"/>
  <c r="C191" i="21"/>
  <c r="S190" i="21"/>
  <c r="K191" i="21"/>
  <c r="Q71" i="21" l="1"/>
  <c r="S72" i="21"/>
  <c r="K72" i="21"/>
  <c r="T190" i="21"/>
  <c r="U190" i="21"/>
  <c r="M190" i="21"/>
  <c r="L190" i="21"/>
  <c r="C192" i="21"/>
  <c r="F192" i="21"/>
  <c r="S191" i="21"/>
  <c r="K192" i="21"/>
  <c r="O191" i="21"/>
  <c r="G192" i="21"/>
  <c r="Q191" i="21"/>
  <c r="B192" i="21"/>
  <c r="J192" i="21"/>
  <c r="V191" i="21"/>
  <c r="P191" i="21"/>
  <c r="I192" i="21"/>
  <c r="E192" i="21"/>
  <c r="J72" i="21" l="1"/>
  <c r="L72" i="21" s="1"/>
  <c r="V72" i="21"/>
  <c r="U191" i="21"/>
  <c r="M191" i="21"/>
  <c r="T191" i="21"/>
  <c r="L191" i="21"/>
  <c r="O192" i="21"/>
  <c r="F193" i="21"/>
  <c r="I193" i="21"/>
  <c r="B193" i="21"/>
  <c r="P192" i="21"/>
  <c r="S192" i="21"/>
  <c r="K193" i="21"/>
  <c r="C193" i="21"/>
  <c r="E193" i="21"/>
  <c r="V192" i="21"/>
  <c r="G193" i="21"/>
  <c r="Q192" i="21"/>
  <c r="J193" i="21"/>
  <c r="M72" i="21" l="1"/>
  <c r="T72" i="21"/>
  <c r="I73" i="21"/>
  <c r="F194" i="21"/>
  <c r="C194" i="21"/>
  <c r="S193" i="21"/>
  <c r="G194" i="21"/>
  <c r="B194" i="21"/>
  <c r="V193" i="21"/>
  <c r="E194" i="21"/>
  <c r="P193" i="21"/>
  <c r="K194" i="21"/>
  <c r="I194" i="21"/>
  <c r="J194" i="21"/>
  <c r="O193" i="21"/>
  <c r="Q193" i="21"/>
  <c r="M192" i="21"/>
  <c r="L192" i="21"/>
  <c r="U192" i="21"/>
  <c r="T192" i="21"/>
  <c r="K73" i="21" l="1"/>
  <c r="U72" i="21"/>
  <c r="S73" i="21"/>
  <c r="Q72" i="21"/>
  <c r="T193" i="21"/>
  <c r="U193" i="21"/>
  <c r="M193" i="21"/>
  <c r="L193" i="21"/>
  <c r="F195" i="21"/>
  <c r="O194" i="21"/>
  <c r="S194" i="21"/>
  <c r="Q194" i="21"/>
  <c r="G195" i="21"/>
  <c r="J195" i="21"/>
  <c r="K195" i="21"/>
  <c r="P194" i="21"/>
  <c r="B195" i="21"/>
  <c r="V194" i="21"/>
  <c r="E195" i="21"/>
  <c r="C195" i="21"/>
  <c r="I195" i="21"/>
  <c r="J73" i="21" l="1"/>
  <c r="V73" i="21"/>
  <c r="T194" i="21"/>
  <c r="U194" i="21"/>
  <c r="L194" i="21"/>
  <c r="M194" i="21"/>
  <c r="G196" i="21"/>
  <c r="B196" i="21"/>
  <c r="I196" i="21"/>
  <c r="C196" i="21"/>
  <c r="J196" i="21"/>
  <c r="S195" i="21"/>
  <c r="E196" i="21"/>
  <c r="P195" i="21"/>
  <c r="K196" i="21"/>
  <c r="O195" i="21"/>
  <c r="V195" i="21"/>
  <c r="F196" i="21"/>
  <c r="Q195" i="21"/>
  <c r="I74" i="21" l="1"/>
  <c r="T73" i="21"/>
  <c r="L73" i="21"/>
  <c r="M73" i="21"/>
  <c r="T195" i="21"/>
  <c r="M195" i="21"/>
  <c r="L195" i="21"/>
  <c r="U195" i="21"/>
  <c r="P196" i="21"/>
  <c r="B197" i="21"/>
  <c r="I197" i="21"/>
  <c r="V196" i="21"/>
  <c r="C197" i="21"/>
  <c r="F197" i="21"/>
  <c r="K197" i="21"/>
  <c r="E197" i="21"/>
  <c r="G197" i="21"/>
  <c r="Q196" i="21"/>
  <c r="O196" i="21"/>
  <c r="J197" i="21"/>
  <c r="S196" i="21"/>
  <c r="S74" i="21" l="1"/>
  <c r="U73" i="21"/>
  <c r="K74" i="21"/>
  <c r="Q73" i="21"/>
  <c r="B198" i="21"/>
  <c r="E198" i="21"/>
  <c r="Q197" i="21"/>
  <c r="J198" i="21"/>
  <c r="F198" i="21"/>
  <c r="K198" i="21"/>
  <c r="C198" i="21"/>
  <c r="O197" i="21"/>
  <c r="V197" i="21"/>
  <c r="G198" i="21"/>
  <c r="S197" i="21"/>
  <c r="P197" i="21"/>
  <c r="I198" i="21"/>
  <c r="T196" i="21"/>
  <c r="M196" i="21"/>
  <c r="U196" i="21"/>
  <c r="L196" i="21"/>
  <c r="J74" i="21" l="1"/>
  <c r="L74" i="21" s="1"/>
  <c r="V74" i="21"/>
  <c r="L197" i="21"/>
  <c r="U197" i="21"/>
  <c r="T197" i="21"/>
  <c r="M197" i="21"/>
  <c r="G199" i="21"/>
  <c r="C199" i="21"/>
  <c r="V198" i="21"/>
  <c r="J199" i="21"/>
  <c r="O198" i="21"/>
  <c r="I199" i="21"/>
  <c r="P198" i="21"/>
  <c r="B199" i="21"/>
  <c r="K199" i="21"/>
  <c r="E199" i="21"/>
  <c r="S198" i="21"/>
  <c r="F199" i="21"/>
  <c r="Q198" i="21"/>
  <c r="T74" i="21" l="1"/>
  <c r="U74" i="21" s="1"/>
  <c r="M74" i="21"/>
  <c r="I75" i="21"/>
  <c r="F200" i="21"/>
  <c r="G200" i="21"/>
  <c r="J200" i="21"/>
  <c r="B200" i="21"/>
  <c r="C200" i="21"/>
  <c r="S199" i="21"/>
  <c r="O199" i="21"/>
  <c r="K200" i="21"/>
  <c r="V199" i="21"/>
  <c r="P199" i="21"/>
  <c r="Q199" i="21"/>
  <c r="E200" i="21"/>
  <c r="I200" i="21"/>
  <c r="U198" i="21"/>
  <c r="M198" i="21"/>
  <c r="L198" i="21"/>
  <c r="T198" i="21"/>
  <c r="Q74" i="21" l="1"/>
  <c r="S75" i="21"/>
  <c r="K75" i="21"/>
  <c r="J201" i="21"/>
  <c r="O200" i="21"/>
  <c r="S200" i="21"/>
  <c r="Q200" i="21"/>
  <c r="E201" i="21"/>
  <c r="C201" i="21"/>
  <c r="K201" i="21"/>
  <c r="F201" i="21"/>
  <c r="P200" i="21"/>
  <c r="I201" i="21"/>
  <c r="B201" i="21"/>
  <c r="G201" i="21"/>
  <c r="V200" i="21"/>
  <c r="M199" i="21"/>
  <c r="U199" i="21"/>
  <c r="L199" i="21"/>
  <c r="T199" i="21"/>
  <c r="J75" i="21" l="1"/>
  <c r="V75" i="21"/>
  <c r="E202" i="21"/>
  <c r="B202" i="21"/>
  <c r="Q201" i="21"/>
  <c r="F202" i="21"/>
  <c r="P201" i="21"/>
  <c r="K202" i="21"/>
  <c r="J202" i="21"/>
  <c r="C202" i="21"/>
  <c r="S201" i="21"/>
  <c r="I202" i="21"/>
  <c r="G202" i="21"/>
  <c r="V201" i="21"/>
  <c r="O201" i="21"/>
  <c r="M200" i="21"/>
  <c r="L200" i="21"/>
  <c r="T200" i="21"/>
  <c r="U200" i="21"/>
  <c r="I76" i="21" l="1"/>
  <c r="T75" i="21"/>
  <c r="L75" i="21"/>
  <c r="M75" i="21"/>
  <c r="O202" i="21"/>
  <c r="E203" i="21"/>
  <c r="I203" i="21"/>
  <c r="K203" i="21"/>
  <c r="C203" i="21"/>
  <c r="F203" i="21"/>
  <c r="Q202" i="21"/>
  <c r="B203" i="21"/>
  <c r="P202" i="21"/>
  <c r="S202" i="21"/>
  <c r="J203" i="21"/>
  <c r="V202" i="21"/>
  <c r="G203" i="21"/>
  <c r="U201" i="21"/>
  <c r="L201" i="21"/>
  <c r="T201" i="21"/>
  <c r="M201" i="21"/>
  <c r="S76" i="21" l="1"/>
  <c r="U75" i="21"/>
  <c r="K76" i="21"/>
  <c r="Q75" i="21"/>
  <c r="O203" i="21"/>
  <c r="K204" i="21"/>
  <c r="V203" i="21"/>
  <c r="B204" i="21"/>
  <c r="E204" i="21"/>
  <c r="Q203" i="21"/>
  <c r="I204" i="21"/>
  <c r="C204" i="21"/>
  <c r="J204" i="21"/>
  <c r="S203" i="21"/>
  <c r="F204" i="21"/>
  <c r="P203" i="21"/>
  <c r="G204" i="21"/>
  <c r="U202" i="21"/>
  <c r="T202" i="21"/>
  <c r="M202" i="21"/>
  <c r="L202" i="21"/>
  <c r="J76" i="21" l="1"/>
  <c r="L76" i="21" s="1"/>
  <c r="V76" i="21"/>
  <c r="J205" i="21"/>
  <c r="B205" i="21"/>
  <c r="V204" i="21"/>
  <c r="G205" i="21"/>
  <c r="E205" i="21"/>
  <c r="K205" i="21"/>
  <c r="C205" i="21"/>
  <c r="P204" i="21"/>
  <c r="Q204" i="21"/>
  <c r="S204" i="21"/>
  <c r="I205" i="21"/>
  <c r="O204" i="21"/>
  <c r="F205" i="21"/>
  <c r="L203" i="21"/>
  <c r="U203" i="21"/>
  <c r="T203" i="21"/>
  <c r="M203" i="21"/>
  <c r="M76" i="21" l="1"/>
  <c r="T76" i="21"/>
  <c r="Q76" i="21" s="1"/>
  <c r="I77" i="21"/>
  <c r="T204" i="21"/>
  <c r="L204" i="21"/>
  <c r="M204" i="21"/>
  <c r="U204" i="21"/>
  <c r="O205" i="21"/>
  <c r="G206" i="21"/>
  <c r="S205" i="21"/>
  <c r="Q205" i="21"/>
  <c r="B206" i="21"/>
  <c r="F206" i="21"/>
  <c r="V205" i="21"/>
  <c r="J206" i="21"/>
  <c r="C206" i="21"/>
  <c r="I206" i="21"/>
  <c r="K206" i="21"/>
  <c r="E206" i="21"/>
  <c r="P205" i="21"/>
  <c r="K77" i="21" l="1"/>
  <c r="U76" i="21"/>
  <c r="S77" i="21"/>
  <c r="U205" i="21"/>
  <c r="T205" i="21"/>
  <c r="L205" i="21"/>
  <c r="M205" i="21"/>
  <c r="P206" i="21"/>
  <c r="C207" i="21"/>
  <c r="Q206" i="21"/>
  <c r="K207" i="21"/>
  <c r="E207" i="21"/>
  <c r="G207" i="21"/>
  <c r="S206" i="21"/>
  <c r="J207" i="21"/>
  <c r="B207" i="21"/>
  <c r="I207" i="21"/>
  <c r="V206" i="21"/>
  <c r="O206" i="21"/>
  <c r="F207" i="21"/>
  <c r="J77" i="21" l="1"/>
  <c r="V77" i="21"/>
  <c r="T206" i="21"/>
  <c r="U206" i="21"/>
  <c r="L206" i="21"/>
  <c r="M206" i="21"/>
  <c r="G208" i="21"/>
  <c r="J208" i="21"/>
  <c r="I208" i="21"/>
  <c r="O207" i="21"/>
  <c r="S207" i="21"/>
  <c r="V207" i="21"/>
  <c r="P207" i="21"/>
  <c r="B208" i="21"/>
  <c r="K208" i="21"/>
  <c r="C208" i="21"/>
  <c r="F208" i="21"/>
  <c r="Q207" i="21"/>
  <c r="E208" i="21"/>
  <c r="I78" i="21" l="1"/>
  <c r="T77" i="21"/>
  <c r="L77" i="21"/>
  <c r="M77" i="21"/>
  <c r="P208" i="21"/>
  <c r="C209" i="21"/>
  <c r="I209" i="21"/>
  <c r="Q208" i="21"/>
  <c r="E209" i="21"/>
  <c r="B209" i="21"/>
  <c r="K209" i="21"/>
  <c r="F209" i="21"/>
  <c r="G209" i="21"/>
  <c r="S208" i="21"/>
  <c r="V208" i="21"/>
  <c r="O208" i="21"/>
  <c r="J209" i="21"/>
  <c r="M207" i="21"/>
  <c r="T207" i="21"/>
  <c r="L207" i="21"/>
  <c r="U207" i="21"/>
  <c r="U77" i="21" l="1"/>
  <c r="S78" i="21"/>
  <c r="K78" i="21"/>
  <c r="Q77" i="21"/>
  <c r="L208" i="21"/>
  <c r="U208" i="21"/>
  <c r="T208" i="21"/>
  <c r="M208" i="21"/>
  <c r="B210" i="21"/>
  <c r="G210" i="21"/>
  <c r="S209" i="21"/>
  <c r="P209" i="21"/>
  <c r="O209" i="21"/>
  <c r="V209" i="21"/>
  <c r="K210" i="21"/>
  <c r="E210" i="21"/>
  <c r="C210" i="21"/>
  <c r="I210" i="21"/>
  <c r="J210" i="21"/>
  <c r="Q209" i="21"/>
  <c r="F210" i="21"/>
  <c r="J78" i="21" l="1"/>
  <c r="M78" i="21" s="1"/>
  <c r="V78" i="21"/>
  <c r="L209" i="21"/>
  <c r="U209" i="21"/>
  <c r="M209" i="21"/>
  <c r="T209" i="21"/>
  <c r="G211" i="21"/>
  <c r="O210" i="21"/>
  <c r="I211" i="21"/>
  <c r="P210" i="21"/>
  <c r="C211" i="21"/>
  <c r="S210" i="21"/>
  <c r="J211" i="21"/>
  <c r="E211" i="21"/>
  <c r="V210" i="21"/>
  <c r="K211" i="21"/>
  <c r="F211" i="21"/>
  <c r="Q210" i="21"/>
  <c r="B211" i="21"/>
  <c r="L78" i="21" l="1"/>
  <c r="T78" i="21"/>
  <c r="Q78" i="21" s="1"/>
  <c r="I79" i="21"/>
  <c r="M210" i="21"/>
  <c r="T210" i="21"/>
  <c r="L210" i="21"/>
  <c r="U210" i="21"/>
  <c r="J212" i="21"/>
  <c r="S211" i="21"/>
  <c r="I212" i="21"/>
  <c r="C212" i="21"/>
  <c r="F212" i="21"/>
  <c r="K212" i="21"/>
  <c r="Q211" i="21"/>
  <c r="O211" i="21"/>
  <c r="G212" i="21"/>
  <c r="E212" i="21"/>
  <c r="B212" i="21"/>
  <c r="V211" i="21"/>
  <c r="P211" i="21"/>
  <c r="K79" i="21" l="1"/>
  <c r="U78" i="21"/>
  <c r="S79" i="21"/>
  <c r="O212" i="21"/>
  <c r="G213" i="21"/>
  <c r="S212" i="21"/>
  <c r="C213" i="21"/>
  <c r="E213" i="21"/>
  <c r="I213" i="21"/>
  <c r="B213" i="21"/>
  <c r="P212" i="21"/>
  <c r="V212" i="21"/>
  <c r="Q212" i="21"/>
  <c r="J213" i="21"/>
  <c r="K213" i="21"/>
  <c r="F213" i="21"/>
  <c r="T211" i="21"/>
  <c r="M211" i="21"/>
  <c r="L211" i="21"/>
  <c r="U211" i="21"/>
  <c r="J79" i="21" l="1"/>
  <c r="M79" i="21" s="1"/>
  <c r="V79" i="21"/>
  <c r="E214" i="21"/>
  <c r="P213" i="21"/>
  <c r="K214" i="21"/>
  <c r="F214" i="21"/>
  <c r="B214" i="21"/>
  <c r="V213" i="21"/>
  <c r="G214" i="21"/>
  <c r="O213" i="21"/>
  <c r="Q213" i="21"/>
  <c r="I214" i="21"/>
  <c r="J214" i="21"/>
  <c r="S213" i="21"/>
  <c r="C214" i="21"/>
  <c r="L212" i="21"/>
  <c r="T212" i="21"/>
  <c r="M212" i="21"/>
  <c r="U212" i="21"/>
  <c r="T79" i="21" l="1"/>
  <c r="Q79" i="21" s="1"/>
  <c r="L79" i="21"/>
  <c r="I80" i="21"/>
  <c r="T213" i="21"/>
  <c r="U213" i="21"/>
  <c r="L213" i="21"/>
  <c r="M213" i="21"/>
  <c r="C215" i="21"/>
  <c r="B215" i="21"/>
  <c r="Q214" i="21"/>
  <c r="F215" i="21"/>
  <c r="E215" i="21"/>
  <c r="K215" i="21"/>
  <c r="G215" i="21"/>
  <c r="J215" i="21"/>
  <c r="V214" i="21"/>
  <c r="S214" i="21"/>
  <c r="O214" i="21"/>
  <c r="I215" i="21"/>
  <c r="P214" i="21"/>
  <c r="K80" i="21" l="1"/>
  <c r="U79" i="21"/>
  <c r="S80" i="21"/>
  <c r="T214" i="21"/>
  <c r="M214" i="21"/>
  <c r="U214" i="21"/>
  <c r="L214" i="21"/>
  <c r="F216" i="21"/>
  <c r="B216" i="21"/>
  <c r="I216" i="21"/>
  <c r="G216" i="21"/>
  <c r="J216" i="21"/>
  <c r="K216" i="21"/>
  <c r="P215" i="21"/>
  <c r="C216" i="21"/>
  <c r="Q215" i="21"/>
  <c r="E216" i="21"/>
  <c r="O215" i="21"/>
  <c r="S215" i="21"/>
  <c r="V215" i="21"/>
  <c r="J80" i="21" l="1"/>
  <c r="V80" i="21"/>
  <c r="T215" i="21"/>
  <c r="L215" i="21"/>
  <c r="M215" i="21"/>
  <c r="U215" i="21"/>
  <c r="E217" i="21"/>
  <c r="O216" i="21"/>
  <c r="K217" i="21"/>
  <c r="I217" i="21"/>
  <c r="F217" i="21"/>
  <c r="G217" i="21"/>
  <c r="Q216" i="21"/>
  <c r="B217" i="21"/>
  <c r="P216" i="21"/>
  <c r="S216" i="21"/>
  <c r="J217" i="21"/>
  <c r="V216" i="21"/>
  <c r="C217" i="21"/>
  <c r="I81" i="21" l="1"/>
  <c r="T80" i="21"/>
  <c r="M80" i="21"/>
  <c r="L80" i="21"/>
  <c r="J218" i="21"/>
  <c r="C218" i="21"/>
  <c r="S217" i="21"/>
  <c r="V217" i="21"/>
  <c r="E218" i="21"/>
  <c r="O217" i="21"/>
  <c r="I218" i="21"/>
  <c r="F218" i="21"/>
  <c r="B218" i="21"/>
  <c r="K218" i="21"/>
  <c r="Q217" i="21"/>
  <c r="P217" i="21"/>
  <c r="G218" i="21"/>
  <c r="T216" i="21"/>
  <c r="U216" i="21"/>
  <c r="M216" i="21"/>
  <c r="L216" i="21"/>
  <c r="S81" i="21" l="1"/>
  <c r="U80" i="21"/>
  <c r="K81" i="21"/>
  <c r="Q80" i="21"/>
  <c r="M217" i="21"/>
  <c r="T217" i="21"/>
  <c r="L217" i="21"/>
  <c r="U217" i="21"/>
  <c r="B219" i="21"/>
  <c r="P218" i="21"/>
  <c r="I219" i="21"/>
  <c r="G219" i="21"/>
  <c r="J219" i="21"/>
  <c r="K219" i="21"/>
  <c r="O218" i="21"/>
  <c r="E219" i="21"/>
  <c r="V218" i="21"/>
  <c r="S218" i="21"/>
  <c r="C219" i="21"/>
  <c r="Q218" i="21"/>
  <c r="F219" i="21"/>
  <c r="J81" i="21" l="1"/>
  <c r="T81" i="21" s="1"/>
  <c r="V81" i="21"/>
  <c r="U218" i="21"/>
  <c r="L218" i="21"/>
  <c r="T218" i="21"/>
  <c r="M218" i="21"/>
  <c r="G220" i="21"/>
  <c r="J220" i="21"/>
  <c r="V219" i="21"/>
  <c r="C220" i="21"/>
  <c r="O219" i="21"/>
  <c r="I220" i="21"/>
  <c r="P219" i="21"/>
  <c r="B220" i="21"/>
  <c r="S219" i="21"/>
  <c r="F220" i="21"/>
  <c r="E220" i="21"/>
  <c r="Q219" i="21"/>
  <c r="K220" i="21"/>
  <c r="M81" i="21" l="1"/>
  <c r="L81" i="21"/>
  <c r="U81" i="21"/>
  <c r="S82" i="21"/>
  <c r="Q81" i="21"/>
  <c r="I82" i="21"/>
  <c r="F221" i="21"/>
  <c r="E221" i="21"/>
  <c r="Q220" i="21"/>
  <c r="K221" i="21"/>
  <c r="G221" i="21"/>
  <c r="C221" i="21"/>
  <c r="V220" i="21"/>
  <c r="O220" i="21"/>
  <c r="P220" i="21"/>
  <c r="S220" i="21"/>
  <c r="J221" i="21"/>
  <c r="I221" i="21"/>
  <c r="B221" i="21"/>
  <c r="L219" i="21"/>
  <c r="T219" i="21"/>
  <c r="U219" i="21"/>
  <c r="M219" i="21"/>
  <c r="K82" i="21" l="1"/>
  <c r="T220" i="21"/>
  <c r="U220" i="21"/>
  <c r="L220" i="21"/>
  <c r="M220" i="21"/>
  <c r="P221" i="21"/>
  <c r="O221" i="21"/>
  <c r="I222" i="21"/>
  <c r="E222" i="21"/>
  <c r="J222" i="21"/>
  <c r="V221" i="21"/>
  <c r="K222" i="21"/>
  <c r="F222" i="21"/>
  <c r="B222" i="21"/>
  <c r="Q221" i="21"/>
  <c r="G222" i="21"/>
  <c r="S221" i="21"/>
  <c r="C222" i="21"/>
  <c r="J82" i="21" l="1"/>
  <c r="V82" i="21"/>
  <c r="L221" i="21"/>
  <c r="T221" i="21"/>
  <c r="U221" i="21"/>
  <c r="M221" i="21"/>
  <c r="P222" i="21"/>
  <c r="E223" i="21"/>
  <c r="S222" i="21"/>
  <c r="C223" i="21"/>
  <c r="F223" i="21"/>
  <c r="V222" i="21"/>
  <c r="J223" i="21"/>
  <c r="G223" i="21"/>
  <c r="K223" i="21"/>
  <c r="Q222" i="21"/>
  <c r="B223" i="21"/>
  <c r="I223" i="21"/>
  <c r="O222" i="21"/>
  <c r="I83" i="21" l="1"/>
  <c r="L82" i="21"/>
  <c r="M82" i="21"/>
  <c r="T82" i="21"/>
  <c r="B224" i="21"/>
  <c r="F224" i="21"/>
  <c r="Q223" i="21"/>
  <c r="V223" i="21"/>
  <c r="J224" i="21"/>
  <c r="G224" i="21"/>
  <c r="I224" i="21"/>
  <c r="C224" i="21"/>
  <c r="P223" i="21"/>
  <c r="S223" i="21"/>
  <c r="E224" i="21"/>
  <c r="K224" i="21"/>
  <c r="O223" i="21"/>
  <c r="L222" i="21"/>
  <c r="T222" i="21"/>
  <c r="M222" i="21"/>
  <c r="U222" i="21"/>
  <c r="U82" i="21" l="1"/>
  <c r="S83" i="21"/>
  <c r="K83" i="21"/>
  <c r="Q82" i="21"/>
  <c r="M223" i="21"/>
  <c r="T223" i="21"/>
  <c r="U223" i="21"/>
  <c r="L223" i="21"/>
  <c r="B225" i="21"/>
  <c r="K225" i="21"/>
  <c r="S224" i="21"/>
  <c r="J225" i="21"/>
  <c r="G225" i="21"/>
  <c r="C225" i="21"/>
  <c r="V224" i="21"/>
  <c r="O224" i="21"/>
  <c r="E225" i="21"/>
  <c r="Q224" i="21"/>
  <c r="P224" i="21"/>
  <c r="I225" i="21"/>
  <c r="F225" i="21"/>
  <c r="J83" i="21" l="1"/>
  <c r="T83" i="21" s="1"/>
  <c r="V83" i="21"/>
  <c r="T224" i="21"/>
  <c r="U224" i="21"/>
  <c r="M224" i="21"/>
  <c r="L224" i="21"/>
  <c r="F226" i="21"/>
  <c r="P225" i="21"/>
  <c r="Q225" i="21"/>
  <c r="J226" i="21"/>
  <c r="G226" i="21"/>
  <c r="S225" i="21"/>
  <c r="I226" i="21"/>
  <c r="C226" i="21"/>
  <c r="B226" i="21"/>
  <c r="K226" i="21"/>
  <c r="E226" i="21"/>
  <c r="O225" i="21"/>
  <c r="V225" i="21"/>
  <c r="U83" i="21" l="1"/>
  <c r="S84" i="21"/>
  <c r="L83" i="21"/>
  <c r="M83" i="21"/>
  <c r="Q83" i="21"/>
  <c r="I84" i="21"/>
  <c r="M225" i="21"/>
  <c r="L225" i="21"/>
  <c r="T225" i="21"/>
  <c r="U225" i="21"/>
  <c r="E227" i="21"/>
  <c r="F227" i="21"/>
  <c r="Q226" i="21"/>
  <c r="C227" i="21"/>
  <c r="B227" i="21"/>
  <c r="V226" i="21"/>
  <c r="K227" i="21"/>
  <c r="O226" i="21"/>
  <c r="J227" i="21"/>
  <c r="I227" i="21"/>
  <c r="G227" i="21"/>
  <c r="S226" i="21"/>
  <c r="P226" i="21"/>
  <c r="K84" i="21" l="1"/>
  <c r="M226" i="21"/>
  <c r="U226" i="21"/>
  <c r="T226" i="21"/>
  <c r="L226" i="21"/>
  <c r="O227" i="21"/>
  <c r="J228" i="21"/>
  <c r="K228" i="21"/>
  <c r="P227" i="21"/>
  <c r="G228" i="21"/>
  <c r="F228" i="21"/>
  <c r="C228" i="21"/>
  <c r="I228" i="21"/>
  <c r="B228" i="21"/>
  <c r="S227" i="21"/>
  <c r="V227" i="21"/>
  <c r="E228" i="21"/>
  <c r="Q227" i="21"/>
  <c r="J84" i="21" l="1"/>
  <c r="L84" i="21" s="1"/>
  <c r="V84" i="21"/>
  <c r="P228" i="21"/>
  <c r="G229" i="21"/>
  <c r="V228" i="21"/>
  <c r="Q228" i="21"/>
  <c r="E229" i="21"/>
  <c r="O228" i="21"/>
  <c r="S228" i="21"/>
  <c r="F229" i="21"/>
  <c r="K229" i="21"/>
  <c r="C229" i="21"/>
  <c r="J229" i="21"/>
  <c r="B229" i="21"/>
  <c r="I229" i="21"/>
  <c r="U227" i="21"/>
  <c r="L227" i="21"/>
  <c r="T227" i="21"/>
  <c r="M227" i="21"/>
  <c r="M84" i="21" l="1"/>
  <c r="T84" i="21"/>
  <c r="I85" i="21"/>
  <c r="M228" i="21"/>
  <c r="U228" i="21"/>
  <c r="L228" i="21"/>
  <c r="T228" i="21"/>
  <c r="E230" i="21"/>
  <c r="V229" i="21"/>
  <c r="S229" i="21"/>
  <c r="O229" i="21"/>
  <c r="J230" i="21"/>
  <c r="Q229" i="21"/>
  <c r="I230" i="21"/>
  <c r="P229" i="21"/>
  <c r="K230" i="21"/>
  <c r="F230" i="21"/>
  <c r="C230" i="21"/>
  <c r="G230" i="21"/>
  <c r="B230" i="21"/>
  <c r="K85" i="21" l="1"/>
  <c r="S85" i="21"/>
  <c r="U84" i="21"/>
  <c r="Q84" i="21"/>
  <c r="M229" i="21"/>
  <c r="U229" i="21"/>
  <c r="L229" i="21"/>
  <c r="T229" i="21"/>
  <c r="O230" i="21"/>
  <c r="E231" i="21"/>
  <c r="K231" i="21"/>
  <c r="B231" i="21"/>
  <c r="F231" i="21"/>
  <c r="I231" i="21"/>
  <c r="G231" i="21"/>
  <c r="V230" i="21"/>
  <c r="C231" i="21"/>
  <c r="J231" i="21"/>
  <c r="S230" i="21"/>
  <c r="Q230" i="21"/>
  <c r="P230" i="21"/>
  <c r="J85" i="21" l="1"/>
  <c r="T85" i="21" s="1"/>
  <c r="V85" i="21"/>
  <c r="C232" i="21"/>
  <c r="F232" i="21"/>
  <c r="P231" i="21"/>
  <c r="Q231" i="21"/>
  <c r="O231" i="21"/>
  <c r="G232" i="21"/>
  <c r="S231" i="21"/>
  <c r="I232" i="21"/>
  <c r="E232" i="21"/>
  <c r="K232" i="21"/>
  <c r="B232" i="21"/>
  <c r="J232" i="21"/>
  <c r="V231" i="21"/>
  <c r="U230" i="21"/>
  <c r="L230" i="21"/>
  <c r="M230" i="21"/>
  <c r="T230" i="21"/>
  <c r="S86" i="21" l="1"/>
  <c r="U85" i="21"/>
  <c r="Q85" i="21"/>
  <c r="I86" i="21"/>
  <c r="M85" i="21"/>
  <c r="L85" i="21"/>
  <c r="J233" i="21"/>
  <c r="P232" i="21"/>
  <c r="K233" i="21"/>
  <c r="C233" i="21"/>
  <c r="B233" i="21"/>
  <c r="V232" i="21"/>
  <c r="S232" i="21"/>
  <c r="G233" i="21"/>
  <c r="O232" i="21"/>
  <c r="Q232" i="21"/>
  <c r="F233" i="21"/>
  <c r="I233" i="21"/>
  <c r="E233" i="21"/>
  <c r="T231" i="21"/>
  <c r="M231" i="21"/>
  <c r="U231" i="21"/>
  <c r="L231" i="21"/>
  <c r="K86" i="21" l="1"/>
  <c r="M232" i="21"/>
  <c r="U232" i="21"/>
  <c r="L232" i="21"/>
  <c r="T232" i="21"/>
  <c r="J234" i="21"/>
  <c r="G234" i="21"/>
  <c r="I234" i="21"/>
  <c r="V233" i="21"/>
  <c r="B234" i="21"/>
  <c r="P233" i="21"/>
  <c r="S233" i="21"/>
  <c r="C234" i="21"/>
  <c r="Q233" i="21"/>
  <c r="E234" i="21"/>
  <c r="O233" i="21"/>
  <c r="F234" i="21"/>
  <c r="K234" i="21"/>
  <c r="J86" i="21" l="1"/>
  <c r="V86" i="21"/>
  <c r="M233" i="21"/>
  <c r="T233" i="21"/>
  <c r="L233" i="21"/>
  <c r="U233" i="21"/>
  <c r="G235" i="21"/>
  <c r="C235" i="21"/>
  <c r="V234" i="21"/>
  <c r="J235" i="21"/>
  <c r="B235" i="21"/>
  <c r="K235" i="21"/>
  <c r="Q234" i="21"/>
  <c r="O234" i="21"/>
  <c r="E235" i="21"/>
  <c r="S234" i="21"/>
  <c r="P234" i="21"/>
  <c r="I235" i="21"/>
  <c r="F235" i="21"/>
  <c r="I87" i="21" l="1"/>
  <c r="T86" i="21"/>
  <c r="M86" i="21"/>
  <c r="L86" i="21"/>
  <c r="M234" i="21"/>
  <c r="T234" i="21"/>
  <c r="L234" i="21"/>
  <c r="U234" i="21"/>
  <c r="O235" i="21"/>
  <c r="G236" i="21"/>
  <c r="Q235" i="21"/>
  <c r="E236" i="21"/>
  <c r="B236" i="21"/>
  <c r="I236" i="21"/>
  <c r="P235" i="21"/>
  <c r="J236" i="21"/>
  <c r="S235" i="21"/>
  <c r="F236" i="21"/>
  <c r="V235" i="21"/>
  <c r="C236" i="21"/>
  <c r="K236" i="21"/>
  <c r="S87" i="21" l="1"/>
  <c r="U86" i="21"/>
  <c r="K87" i="21"/>
  <c r="Q86" i="21"/>
  <c r="L235" i="21"/>
  <c r="M235" i="21"/>
  <c r="U235" i="21"/>
  <c r="T235" i="21"/>
  <c r="O236" i="21"/>
  <c r="S236" i="21"/>
  <c r="Q236" i="21"/>
  <c r="B237" i="21"/>
  <c r="F237" i="21"/>
  <c r="V236" i="21"/>
  <c r="K237" i="21"/>
  <c r="E237" i="21"/>
  <c r="C237" i="21"/>
  <c r="J237" i="21"/>
  <c r="G237" i="21"/>
  <c r="P236" i="21"/>
  <c r="I237" i="21"/>
  <c r="J87" i="21" l="1"/>
  <c r="T87" i="21" s="1"/>
  <c r="V87" i="21"/>
  <c r="J238" i="21"/>
  <c r="C238" i="21"/>
  <c r="I238" i="21"/>
  <c r="O237" i="21"/>
  <c r="P237" i="21"/>
  <c r="S237" i="21"/>
  <c r="F238" i="21"/>
  <c r="Q237" i="21"/>
  <c r="E238" i="21"/>
  <c r="B238" i="21"/>
  <c r="G238" i="21"/>
  <c r="V237" i="21"/>
  <c r="K238" i="21"/>
  <c r="M236" i="21"/>
  <c r="U236" i="21"/>
  <c r="L236" i="21"/>
  <c r="T236" i="21"/>
  <c r="L87" i="21" l="1"/>
  <c r="U87" i="21"/>
  <c r="S88" i="21"/>
  <c r="M87" i="21"/>
  <c r="Q87" i="21"/>
  <c r="I88" i="21"/>
  <c r="J239" i="21"/>
  <c r="C239" i="21"/>
  <c r="S238" i="21"/>
  <c r="G239" i="21"/>
  <c r="F239" i="21"/>
  <c r="K239" i="21"/>
  <c r="Q238" i="21"/>
  <c r="E239" i="21"/>
  <c r="O238" i="21"/>
  <c r="V238" i="21"/>
  <c r="P238" i="21"/>
  <c r="I239" i="21"/>
  <c r="B239" i="21"/>
  <c r="L237" i="21"/>
  <c r="T237" i="21"/>
  <c r="M237" i="21"/>
  <c r="U237" i="21"/>
  <c r="K88" i="21" l="1"/>
  <c r="F240" i="21"/>
  <c r="B240" i="21"/>
  <c r="S239" i="21"/>
  <c r="J240" i="21"/>
  <c r="P239" i="21"/>
  <c r="I240" i="21"/>
  <c r="E240" i="21"/>
  <c r="V239" i="21"/>
  <c r="G240" i="21"/>
  <c r="K240" i="21"/>
  <c r="Q239" i="21"/>
  <c r="C240" i="21"/>
  <c r="O239" i="21"/>
  <c r="M238" i="21"/>
  <c r="L238" i="21"/>
  <c r="T238" i="21"/>
  <c r="U238" i="21"/>
  <c r="J88" i="21" l="1"/>
  <c r="V88" i="21"/>
  <c r="M239" i="21"/>
  <c r="U239" i="21"/>
  <c r="L239" i="21"/>
  <c r="T239" i="21"/>
  <c r="C241" i="21"/>
  <c r="J241" i="21"/>
  <c r="V240" i="21"/>
  <c r="E241" i="21"/>
  <c r="F241" i="21"/>
  <c r="K241" i="21"/>
  <c r="G241" i="21"/>
  <c r="I241" i="21"/>
  <c r="O240" i="21"/>
  <c r="S240" i="21"/>
  <c r="Q240" i="21"/>
  <c r="B241" i="21"/>
  <c r="P240" i="21"/>
  <c r="I89" i="21" l="1"/>
  <c r="T88" i="21"/>
  <c r="M88" i="21"/>
  <c r="L88" i="21"/>
  <c r="O241" i="21"/>
  <c r="B242" i="21"/>
  <c r="V241" i="21"/>
  <c r="F242" i="21"/>
  <c r="C242" i="21"/>
  <c r="K242" i="21"/>
  <c r="I242" i="21"/>
  <c r="G242" i="21"/>
  <c r="Q241" i="21"/>
  <c r="E242" i="21"/>
  <c r="S241" i="21"/>
  <c r="P241" i="21"/>
  <c r="J242" i="21"/>
  <c r="M240" i="21"/>
  <c r="L240" i="21"/>
  <c r="U240" i="21"/>
  <c r="T240" i="21"/>
  <c r="S89" i="21" l="1"/>
  <c r="U88" i="21"/>
  <c r="K89" i="21"/>
  <c r="Q88" i="21"/>
  <c r="U241" i="21"/>
  <c r="M241" i="21"/>
  <c r="L241" i="21"/>
  <c r="T241" i="21"/>
  <c r="O242" i="21"/>
  <c r="J243" i="21"/>
  <c r="K243" i="21"/>
  <c r="F243" i="21"/>
  <c r="G243" i="21"/>
  <c r="S242" i="21"/>
  <c r="B243" i="21"/>
  <c r="E243" i="21"/>
  <c r="Q242" i="21"/>
  <c r="I243" i="21"/>
  <c r="V242" i="21"/>
  <c r="P242" i="21"/>
  <c r="C243" i="21"/>
  <c r="J89" i="21" l="1"/>
  <c r="M89" i="21" s="1"/>
  <c r="V89" i="21"/>
  <c r="G244" i="21"/>
  <c r="J244" i="21"/>
  <c r="Q243" i="21"/>
  <c r="C244" i="21"/>
  <c r="O243" i="21"/>
  <c r="I244" i="21"/>
  <c r="E244" i="21"/>
  <c r="S243" i="21"/>
  <c r="P243" i="21"/>
  <c r="K244" i="21"/>
  <c r="V243" i="21"/>
  <c r="F244" i="21"/>
  <c r="B244" i="21"/>
  <c r="U242" i="21"/>
  <c r="T242" i="21"/>
  <c r="M242" i="21"/>
  <c r="L242" i="21"/>
  <c r="T89" i="21" l="1"/>
  <c r="U89" i="21" s="1"/>
  <c r="L89" i="21"/>
  <c r="Q89" i="21"/>
  <c r="I90" i="21"/>
  <c r="T243" i="21"/>
  <c r="L243" i="21"/>
  <c r="U243" i="21"/>
  <c r="M243" i="21"/>
  <c r="O244" i="21"/>
  <c r="J245" i="21"/>
  <c r="K245" i="21"/>
  <c r="Q244" i="21"/>
  <c r="P244" i="21"/>
  <c r="E245" i="21"/>
  <c r="F245" i="21"/>
  <c r="C245" i="21"/>
  <c r="V244" i="21"/>
  <c r="G245" i="21"/>
  <c r="S244" i="21"/>
  <c r="I245" i="21"/>
  <c r="B245" i="21"/>
  <c r="S90" i="21" l="1"/>
  <c r="K90" i="21"/>
  <c r="U244" i="21"/>
  <c r="L244" i="21"/>
  <c r="T244" i="21"/>
  <c r="M244" i="21"/>
  <c r="J246" i="21"/>
  <c r="G246" i="21"/>
  <c r="I246" i="21"/>
  <c r="O245" i="21"/>
  <c r="F246" i="21"/>
  <c r="K246" i="21"/>
  <c r="Q245" i="21"/>
  <c r="B246" i="21"/>
  <c r="C246" i="21"/>
  <c r="S245" i="21"/>
  <c r="E246" i="21"/>
  <c r="V245" i="21"/>
  <c r="P245" i="21"/>
  <c r="J90" i="21" l="1"/>
  <c r="V90" i="21"/>
  <c r="E247" i="21"/>
  <c r="B247" i="21"/>
  <c r="K247" i="21"/>
  <c r="F247" i="21"/>
  <c r="V246" i="21"/>
  <c r="Q246" i="21"/>
  <c r="P246" i="21"/>
  <c r="C247" i="21"/>
  <c r="I247" i="21"/>
  <c r="S246" i="21"/>
  <c r="O246" i="21"/>
  <c r="J247" i="21"/>
  <c r="G247" i="21"/>
  <c r="T245" i="21"/>
  <c r="U245" i="21"/>
  <c r="L245" i="21"/>
  <c r="M245" i="21"/>
  <c r="I91" i="21" l="1"/>
  <c r="L90" i="21"/>
  <c r="T90" i="21"/>
  <c r="M90" i="21"/>
  <c r="M246" i="21"/>
  <c r="T246" i="21"/>
  <c r="L246" i="21"/>
  <c r="U246" i="21"/>
  <c r="C248" i="21"/>
  <c r="J248" i="21"/>
  <c r="K248" i="21"/>
  <c r="E248" i="21"/>
  <c r="G248" i="21"/>
  <c r="S247" i="21"/>
  <c r="P247" i="21"/>
  <c r="Q247" i="21"/>
  <c r="B248" i="21"/>
  <c r="V247" i="21"/>
  <c r="I248" i="21"/>
  <c r="O247" i="21"/>
  <c r="F248" i="21"/>
  <c r="S91" i="21" l="1"/>
  <c r="U90" i="21"/>
  <c r="K91" i="21"/>
  <c r="Q90" i="21"/>
  <c r="U247" i="21"/>
  <c r="L247" i="21"/>
  <c r="T247" i="21"/>
  <c r="M247" i="21"/>
  <c r="G249" i="21"/>
  <c r="F249" i="21"/>
  <c r="S248" i="21"/>
  <c r="K249" i="21"/>
  <c r="O248" i="21"/>
  <c r="J249" i="21"/>
  <c r="V248" i="21"/>
  <c r="P248" i="21"/>
  <c r="I249" i="21"/>
  <c r="E249" i="21"/>
  <c r="Q248" i="21"/>
  <c r="B249" i="21"/>
  <c r="C249" i="21"/>
  <c r="J91" i="21" l="1"/>
  <c r="T91" i="21" s="1"/>
  <c r="V91" i="21"/>
  <c r="M248" i="21"/>
  <c r="T248" i="21"/>
  <c r="L248" i="21"/>
  <c r="U248" i="21"/>
  <c r="G250" i="21"/>
  <c r="C250" i="21"/>
  <c r="I250" i="21"/>
  <c r="B250" i="21"/>
  <c r="O249" i="21"/>
  <c r="J250" i="21"/>
  <c r="P249" i="21"/>
  <c r="S249" i="21"/>
  <c r="V249" i="21"/>
  <c r="K250" i="21"/>
  <c r="Q249" i="21"/>
  <c r="F250" i="21"/>
  <c r="E250" i="21"/>
  <c r="M91" i="21" l="1"/>
  <c r="L91" i="21"/>
  <c r="U91" i="21"/>
  <c r="S92" i="21"/>
  <c r="Q91" i="21"/>
  <c r="I92" i="21"/>
  <c r="M249" i="21"/>
  <c r="L249" i="21"/>
  <c r="T249" i="21"/>
  <c r="U249" i="21"/>
  <c r="G251" i="21"/>
  <c r="C251" i="21"/>
  <c r="S250" i="21"/>
  <c r="J251" i="21"/>
  <c r="K251" i="21"/>
  <c r="V250" i="21"/>
  <c r="P250" i="21"/>
  <c r="E251" i="21"/>
  <c r="Q250" i="21"/>
  <c r="I251" i="21"/>
  <c r="F251" i="21"/>
  <c r="O250" i="21"/>
  <c r="B251" i="21"/>
  <c r="K92" i="21" l="1"/>
  <c r="T250" i="21"/>
  <c r="L250" i="21"/>
  <c r="M250" i="21"/>
  <c r="U250" i="21"/>
  <c r="P251" i="21"/>
  <c r="B252" i="21"/>
  <c r="Q251" i="21"/>
  <c r="E252" i="21"/>
  <c r="J252" i="21"/>
  <c r="I252" i="21"/>
  <c r="G252" i="21"/>
  <c r="C252" i="21"/>
  <c r="S251" i="21"/>
  <c r="V251" i="21"/>
  <c r="O251" i="21"/>
  <c r="F252" i="21"/>
  <c r="K252" i="21"/>
  <c r="J92" i="21" l="1"/>
  <c r="V92" i="21"/>
  <c r="P252" i="21"/>
  <c r="E253" i="21"/>
  <c r="I253" i="21"/>
  <c r="B253" i="21"/>
  <c r="F253" i="21"/>
  <c r="V252" i="21"/>
  <c r="G253" i="21"/>
  <c r="C253" i="21"/>
  <c r="S252" i="21"/>
  <c r="K253" i="21"/>
  <c r="Q252" i="21"/>
  <c r="O252" i="21"/>
  <c r="J253" i="21"/>
  <c r="M251" i="21"/>
  <c r="L251" i="21"/>
  <c r="T251" i="21"/>
  <c r="U251" i="21"/>
  <c r="I93" i="21" l="1"/>
  <c r="T92" i="21"/>
  <c r="L92" i="21"/>
  <c r="M92" i="21"/>
  <c r="G254" i="21"/>
  <c r="J254" i="21"/>
  <c r="C254" i="21"/>
  <c r="B254" i="21"/>
  <c r="P253" i="21"/>
  <c r="S253" i="21"/>
  <c r="F254" i="21"/>
  <c r="Q253" i="21"/>
  <c r="E254" i="21"/>
  <c r="V253" i="21"/>
  <c r="O253" i="21"/>
  <c r="I254" i="21"/>
  <c r="K254" i="21"/>
  <c r="L252" i="21"/>
  <c r="M252" i="21"/>
  <c r="T252" i="21"/>
  <c r="U252" i="21"/>
  <c r="U92" i="21" l="1"/>
  <c r="S93" i="21"/>
  <c r="K93" i="21"/>
  <c r="Q92" i="21"/>
  <c r="C255" i="21"/>
  <c r="E255" i="21"/>
  <c r="I255" i="21"/>
  <c r="B255" i="21"/>
  <c r="F255" i="21"/>
  <c r="K255" i="21"/>
  <c r="P254" i="21"/>
  <c r="S254" i="21"/>
  <c r="J255" i="21"/>
  <c r="V254" i="21"/>
  <c r="Q254" i="21"/>
  <c r="G255" i="21"/>
  <c r="O254" i="21"/>
  <c r="M253" i="21"/>
  <c r="T253" i="21"/>
  <c r="U253" i="21"/>
  <c r="L253" i="21"/>
  <c r="J93" i="21" l="1"/>
  <c r="T93" i="21" s="1"/>
  <c r="V93" i="21"/>
  <c r="M254" i="21"/>
  <c r="U254" i="21"/>
  <c r="T254" i="21"/>
  <c r="L254" i="21"/>
  <c r="E256" i="21"/>
  <c r="F256" i="21"/>
  <c r="K256" i="21"/>
  <c r="B256" i="21"/>
  <c r="C256" i="21"/>
  <c r="Q255" i="21"/>
  <c r="I256" i="21"/>
  <c r="J256" i="21"/>
  <c r="V255" i="21"/>
  <c r="G256" i="21"/>
  <c r="P255" i="21"/>
  <c r="O255" i="21"/>
  <c r="S255" i="21"/>
  <c r="L93" i="21" l="1"/>
  <c r="S94" i="21"/>
  <c r="U93" i="21"/>
  <c r="M93" i="21"/>
  <c r="Q93" i="21"/>
  <c r="I94" i="21"/>
  <c r="C257" i="21"/>
  <c r="G257" i="21"/>
  <c r="V256" i="21"/>
  <c r="S256" i="21"/>
  <c r="J257" i="21"/>
  <c r="O256" i="21"/>
  <c r="I257" i="21"/>
  <c r="F257" i="21"/>
  <c r="B257" i="21"/>
  <c r="K257" i="21"/>
  <c r="P256" i="21"/>
  <c r="E257" i="21"/>
  <c r="Q256" i="21"/>
  <c r="M255" i="21"/>
  <c r="L255" i="21"/>
  <c r="U255" i="21"/>
  <c r="T255" i="21"/>
  <c r="K94" i="21" l="1"/>
  <c r="T256" i="21"/>
  <c r="U256" i="21"/>
  <c r="L256" i="21"/>
  <c r="M256" i="21"/>
  <c r="F258" i="21"/>
  <c r="E258" i="21"/>
  <c r="V257" i="21"/>
  <c r="O257" i="21"/>
  <c r="G258" i="21"/>
  <c r="K258" i="21"/>
  <c r="I258" i="21"/>
  <c r="J258" i="21"/>
  <c r="S257" i="21"/>
  <c r="P257" i="21"/>
  <c r="C258" i="21"/>
  <c r="B258" i="21"/>
  <c r="Q257" i="21"/>
  <c r="J94" i="21" l="1"/>
  <c r="V94" i="21"/>
  <c r="F259" i="21"/>
  <c r="E259" i="21"/>
  <c r="S258" i="21"/>
  <c r="I259" i="21"/>
  <c r="G259" i="21"/>
  <c r="O258" i="21"/>
  <c r="K259" i="21"/>
  <c r="C259" i="21"/>
  <c r="V258" i="21"/>
  <c r="B259" i="21"/>
  <c r="P258" i="21"/>
  <c r="J259" i="21"/>
  <c r="Q258" i="21"/>
  <c r="U257" i="21"/>
  <c r="T257" i="21"/>
  <c r="M257" i="21"/>
  <c r="L257" i="21"/>
  <c r="I95" i="21" l="1"/>
  <c r="L94" i="21"/>
  <c r="T94" i="21"/>
  <c r="M94" i="21"/>
  <c r="L258" i="21"/>
  <c r="U258" i="21"/>
  <c r="T258" i="21"/>
  <c r="M258" i="21"/>
  <c r="G260" i="21"/>
  <c r="F260" i="21"/>
  <c r="V259" i="21"/>
  <c r="Q259" i="21"/>
  <c r="P259" i="21"/>
  <c r="O259" i="21"/>
  <c r="B260" i="21"/>
  <c r="C260" i="21"/>
  <c r="K260" i="21"/>
  <c r="J260" i="21"/>
  <c r="E260" i="21"/>
  <c r="S259" i="21"/>
  <c r="I260" i="21"/>
  <c r="S95" i="21" l="1"/>
  <c r="U94" i="21"/>
  <c r="K95" i="21"/>
  <c r="Q94" i="21"/>
  <c r="U259" i="21"/>
  <c r="M259" i="21"/>
  <c r="L259" i="21"/>
  <c r="T259" i="21"/>
  <c r="P260" i="21"/>
  <c r="J261" i="21"/>
  <c r="S260" i="21"/>
  <c r="F261" i="21"/>
  <c r="E261" i="21"/>
  <c r="I261" i="21"/>
  <c r="V260" i="21"/>
  <c r="C261" i="21"/>
  <c r="G261" i="21"/>
  <c r="Q260" i="21"/>
  <c r="O260" i="21"/>
  <c r="B261" i="21"/>
  <c r="K261" i="21"/>
  <c r="J95" i="21" l="1"/>
  <c r="M95" i="21" s="1"/>
  <c r="V95" i="21"/>
  <c r="F262" i="21"/>
  <c r="B262" i="21"/>
  <c r="I262" i="21"/>
  <c r="G262" i="21"/>
  <c r="P261" i="21"/>
  <c r="V261" i="21"/>
  <c r="E262" i="21"/>
  <c r="S261" i="21"/>
  <c r="O261" i="21"/>
  <c r="K262" i="21"/>
  <c r="C262" i="21"/>
  <c r="J262" i="21"/>
  <c r="Q261" i="21"/>
  <c r="U260" i="21"/>
  <c r="L260" i="21"/>
  <c r="M260" i="21"/>
  <c r="T260" i="21"/>
  <c r="T95" i="21" l="1"/>
  <c r="Q95" i="21" s="1"/>
  <c r="L95" i="21"/>
  <c r="I96" i="21"/>
  <c r="T261" i="21"/>
  <c r="M261" i="21"/>
  <c r="L261" i="21"/>
  <c r="U261" i="21"/>
  <c r="C263" i="21"/>
  <c r="G263" i="21"/>
  <c r="F263" i="21"/>
  <c r="E263" i="21"/>
  <c r="V262" i="21"/>
  <c r="S262" i="21"/>
  <c r="O262" i="21"/>
  <c r="J263" i="21"/>
  <c r="B263" i="21"/>
  <c r="K263" i="21"/>
  <c r="Q262" i="21"/>
  <c r="P262" i="21"/>
  <c r="I263" i="21"/>
  <c r="K96" i="21" l="1"/>
  <c r="S96" i="21"/>
  <c r="U95" i="21"/>
  <c r="M262" i="21"/>
  <c r="L262" i="21"/>
  <c r="T262" i="21"/>
  <c r="U262" i="21"/>
  <c r="C264" i="21"/>
  <c r="G264" i="21"/>
  <c r="S263" i="21"/>
  <c r="O263" i="21"/>
  <c r="E264" i="21"/>
  <c r="Q263" i="21"/>
  <c r="V263" i="21"/>
  <c r="P263" i="21"/>
  <c r="K264" i="21"/>
  <c r="J264" i="21"/>
  <c r="B264" i="21"/>
  <c r="F264" i="21"/>
  <c r="I264" i="21"/>
  <c r="J96" i="21" l="1"/>
  <c r="T96" i="21" s="1"/>
  <c r="V96" i="21"/>
  <c r="J265" i="21"/>
  <c r="F265" i="21"/>
  <c r="I265" i="21"/>
  <c r="O264" i="21"/>
  <c r="P264" i="21"/>
  <c r="S264" i="21"/>
  <c r="E265" i="21"/>
  <c r="G265" i="21"/>
  <c r="K265" i="21"/>
  <c r="C265" i="21"/>
  <c r="Q264" i="21"/>
  <c r="B265" i="21"/>
  <c r="V264" i="21"/>
  <c r="U263" i="21"/>
  <c r="L263" i="21"/>
  <c r="T263" i="21"/>
  <c r="M263" i="21"/>
  <c r="S97" i="21" l="1"/>
  <c r="U96" i="21"/>
  <c r="L96" i="21"/>
  <c r="Q96" i="21"/>
  <c r="I97" i="21"/>
  <c r="M96" i="21"/>
  <c r="J266" i="21"/>
  <c r="G266" i="21"/>
  <c r="Q265" i="21"/>
  <c r="F266" i="21"/>
  <c r="B266" i="21"/>
  <c r="S265" i="21"/>
  <c r="C266" i="21"/>
  <c r="I266" i="21"/>
  <c r="O265" i="21"/>
  <c r="P265" i="21"/>
  <c r="K266" i="21"/>
  <c r="V265" i="21"/>
  <c r="E266" i="21"/>
  <c r="L264" i="21"/>
  <c r="M264" i="21"/>
  <c r="U264" i="21"/>
  <c r="T264" i="21"/>
  <c r="K97" i="21" l="1"/>
  <c r="M265" i="21"/>
  <c r="L265" i="21"/>
  <c r="U265" i="21"/>
  <c r="T265" i="21"/>
  <c r="B267" i="21"/>
  <c r="J267" i="21"/>
  <c r="I267" i="21"/>
  <c r="O266" i="21"/>
  <c r="F267" i="21"/>
  <c r="K267" i="21"/>
  <c r="E267" i="21"/>
  <c r="S266" i="21"/>
  <c r="G267" i="21"/>
  <c r="C267" i="21"/>
  <c r="P266" i="21"/>
  <c r="Q266" i="21"/>
  <c r="V266" i="21"/>
  <c r="J97" i="21" l="1"/>
  <c r="V97" i="21"/>
  <c r="M266" i="21"/>
  <c r="L266" i="21"/>
  <c r="U266" i="21"/>
  <c r="T266" i="21"/>
  <c r="F268" i="21"/>
  <c r="C268" i="21"/>
  <c r="Q267" i="21"/>
  <c r="J268" i="21"/>
  <c r="G268" i="21"/>
  <c r="V267" i="21"/>
  <c r="E268" i="21"/>
  <c r="K268" i="21"/>
  <c r="O267" i="21"/>
  <c r="S267" i="21"/>
  <c r="B268" i="21"/>
  <c r="P267" i="21"/>
  <c r="I268" i="21"/>
  <c r="I98" i="21" l="1"/>
  <c r="L97" i="21"/>
  <c r="T97" i="21"/>
  <c r="M97" i="21"/>
  <c r="C269" i="21"/>
  <c r="O268" i="21"/>
  <c r="V268" i="21"/>
  <c r="K269" i="21"/>
  <c r="E269" i="21"/>
  <c r="F269" i="21"/>
  <c r="Q268" i="21"/>
  <c r="B269" i="21"/>
  <c r="P268" i="21"/>
  <c r="S268" i="21"/>
  <c r="J269" i="21"/>
  <c r="I269" i="21"/>
  <c r="G269" i="21"/>
  <c r="T267" i="21"/>
  <c r="U267" i="21"/>
  <c r="M267" i="21"/>
  <c r="L267" i="21"/>
  <c r="S98" i="21" l="1"/>
  <c r="U97" i="21"/>
  <c r="K98" i="21"/>
  <c r="Q97" i="21"/>
  <c r="E270" i="21"/>
  <c r="V269" i="21"/>
  <c r="K270" i="21"/>
  <c r="P269" i="21"/>
  <c r="F270" i="21"/>
  <c r="O269" i="21"/>
  <c r="S269" i="21"/>
  <c r="B270" i="21"/>
  <c r="J270" i="21"/>
  <c r="Q269" i="21"/>
  <c r="I270" i="21"/>
  <c r="C270" i="21"/>
  <c r="G270" i="21"/>
  <c r="T268" i="21"/>
  <c r="U268" i="21"/>
  <c r="L268" i="21"/>
  <c r="M268" i="21"/>
  <c r="J98" i="21" l="1"/>
  <c r="L98" i="21" s="1"/>
  <c r="V98" i="21"/>
  <c r="E271" i="21"/>
  <c r="C271" i="21"/>
  <c r="P270" i="21"/>
  <c r="F271" i="21"/>
  <c r="K271" i="21"/>
  <c r="V270" i="21"/>
  <c r="B271" i="21"/>
  <c r="Q270" i="21"/>
  <c r="G271" i="21"/>
  <c r="I271" i="21"/>
  <c r="J271" i="21"/>
  <c r="O270" i="21"/>
  <c r="S270" i="21"/>
  <c r="M269" i="21"/>
  <c r="L269" i="21"/>
  <c r="U269" i="21"/>
  <c r="T269" i="21"/>
  <c r="T98" i="21" l="1"/>
  <c r="U98" i="21" s="1"/>
  <c r="M98" i="21"/>
  <c r="I99" i="21"/>
  <c r="C272" i="21"/>
  <c r="O271" i="21"/>
  <c r="B272" i="21"/>
  <c r="E272" i="21"/>
  <c r="S271" i="21"/>
  <c r="V271" i="21"/>
  <c r="P271" i="21"/>
  <c r="Q271" i="21"/>
  <c r="F272" i="21"/>
  <c r="I272" i="21"/>
  <c r="J272" i="21"/>
  <c r="G272" i="21"/>
  <c r="K272" i="21"/>
  <c r="L270" i="21"/>
  <c r="T270" i="21"/>
  <c r="U270" i="21"/>
  <c r="M270" i="21"/>
  <c r="Q98" i="21" l="1"/>
  <c r="S99" i="21"/>
  <c r="K99" i="21"/>
  <c r="F273" i="21"/>
  <c r="J273" i="21"/>
  <c r="S272" i="21"/>
  <c r="G273" i="21"/>
  <c r="B273" i="21"/>
  <c r="I273" i="21"/>
  <c r="O272" i="21"/>
  <c r="P272" i="21"/>
  <c r="C273" i="21"/>
  <c r="Q272" i="21"/>
  <c r="K273" i="21"/>
  <c r="E273" i="21"/>
  <c r="V272" i="21"/>
  <c r="L271" i="21"/>
  <c r="U271" i="21"/>
  <c r="T271" i="21"/>
  <c r="M271" i="21"/>
  <c r="J99" i="21" l="1"/>
  <c r="V99" i="21"/>
  <c r="T272" i="21"/>
  <c r="L272" i="21"/>
  <c r="U272" i="21"/>
  <c r="M272" i="21"/>
  <c r="J274" i="21"/>
  <c r="C274" i="21"/>
  <c r="I274" i="21"/>
  <c r="Q273" i="21"/>
  <c r="B274" i="21"/>
  <c r="E274" i="21"/>
  <c r="K274" i="21"/>
  <c r="V273" i="21"/>
  <c r="P273" i="21"/>
  <c r="F274" i="21"/>
  <c r="O273" i="21"/>
  <c r="S273" i="21"/>
  <c r="G274" i="21"/>
  <c r="I100" i="21" l="1"/>
  <c r="L99" i="21"/>
  <c r="M99" i="21"/>
  <c r="T99" i="21"/>
  <c r="M273" i="21"/>
  <c r="U273" i="21"/>
  <c r="L273" i="21"/>
  <c r="T273" i="21"/>
  <c r="P274" i="21"/>
  <c r="G275" i="21"/>
  <c r="Q274" i="21"/>
  <c r="O274" i="21"/>
  <c r="F275" i="21"/>
  <c r="V274" i="21"/>
  <c r="J275" i="21"/>
  <c r="S274" i="21"/>
  <c r="C275" i="21"/>
  <c r="I275" i="21"/>
  <c r="B275" i="21"/>
  <c r="E275" i="21"/>
  <c r="K275" i="21"/>
  <c r="U99" i="21" l="1"/>
  <c r="S100" i="21"/>
  <c r="K100" i="21"/>
  <c r="Q99" i="21"/>
  <c r="U274" i="21"/>
  <c r="T274" i="21"/>
  <c r="M274" i="21"/>
  <c r="L274" i="21"/>
  <c r="E276" i="21"/>
  <c r="O275" i="21"/>
  <c r="Q275" i="21"/>
  <c r="K276" i="21"/>
  <c r="J276" i="21"/>
  <c r="B276" i="21"/>
  <c r="S275" i="21"/>
  <c r="G276" i="21"/>
  <c r="I276" i="21"/>
  <c r="C276" i="21"/>
  <c r="F276" i="21"/>
  <c r="P275" i="21"/>
  <c r="V275" i="21"/>
  <c r="J100" i="21" l="1"/>
  <c r="L100" i="21" s="1"/>
  <c r="V100" i="21"/>
  <c r="U275" i="21"/>
  <c r="T275" i="21"/>
  <c r="M275" i="21"/>
  <c r="L275" i="21"/>
  <c r="F277" i="21"/>
  <c r="S276" i="21"/>
  <c r="Q276" i="21"/>
  <c r="O276" i="21"/>
  <c r="J277" i="21"/>
  <c r="K277" i="21"/>
  <c r="I277" i="21"/>
  <c r="B277" i="21"/>
  <c r="C277" i="21"/>
  <c r="V276" i="21"/>
  <c r="G277" i="21"/>
  <c r="E277" i="21"/>
  <c r="P276" i="21"/>
  <c r="M100" i="21" l="1"/>
  <c r="T100" i="21"/>
  <c r="Q100" i="21" s="1"/>
  <c r="I101" i="21"/>
  <c r="J278" i="21"/>
  <c r="E278" i="21"/>
  <c r="I278" i="21"/>
  <c r="S277" i="21"/>
  <c r="O277" i="21"/>
  <c r="F278" i="21"/>
  <c r="G278" i="21"/>
  <c r="V277" i="21"/>
  <c r="P277" i="21"/>
  <c r="K278" i="21"/>
  <c r="B278" i="21"/>
  <c r="Q277" i="21"/>
  <c r="C278" i="21"/>
  <c r="U276" i="21"/>
  <c r="M276" i="21"/>
  <c r="T276" i="21"/>
  <c r="L276" i="21"/>
  <c r="K101" i="21" l="1"/>
  <c r="U100" i="21"/>
  <c r="S101" i="21"/>
  <c r="T277" i="21"/>
  <c r="M277" i="21"/>
  <c r="L277" i="21"/>
  <c r="U277" i="21"/>
  <c r="O278" i="21"/>
  <c r="V278" i="21"/>
  <c r="S278" i="21"/>
  <c r="J279" i="21"/>
  <c r="B279" i="21"/>
  <c r="I279" i="21"/>
  <c r="K279" i="21"/>
  <c r="G279" i="21"/>
  <c r="Q278" i="21"/>
  <c r="P278" i="21"/>
  <c r="C279" i="21"/>
  <c r="F279" i="21"/>
  <c r="E279" i="21"/>
  <c r="J101" i="21" l="1"/>
  <c r="M101" i="21" s="1"/>
  <c r="V101" i="21"/>
  <c r="L278" i="21"/>
  <c r="M278" i="21"/>
  <c r="U278" i="21"/>
  <c r="T278" i="21"/>
  <c r="C280" i="21"/>
  <c r="J280" i="21"/>
  <c r="Q279" i="21"/>
  <c r="V279" i="21"/>
  <c r="E280" i="21"/>
  <c r="O279" i="21"/>
  <c r="I280" i="21"/>
  <c r="G280" i="21"/>
  <c r="K280" i="21"/>
  <c r="B280" i="21"/>
  <c r="S279" i="21"/>
  <c r="P279" i="21"/>
  <c r="F280" i="21"/>
  <c r="L101" i="21" l="1"/>
  <c r="I102" i="21"/>
  <c r="T101" i="21"/>
  <c r="U279" i="21"/>
  <c r="T279" i="21"/>
  <c r="M279" i="21"/>
  <c r="L279" i="21"/>
  <c r="B281" i="21"/>
  <c r="F281" i="21"/>
  <c r="Q280" i="21"/>
  <c r="I281" i="21"/>
  <c r="P280" i="21"/>
  <c r="O280" i="21"/>
  <c r="S280" i="21"/>
  <c r="E281" i="21"/>
  <c r="J281" i="21"/>
  <c r="G281" i="21"/>
  <c r="V280" i="21"/>
  <c r="C281" i="21"/>
  <c r="K281" i="21"/>
  <c r="U101" i="21" l="1"/>
  <c r="S102" i="21"/>
  <c r="K102" i="21"/>
  <c r="Q101" i="21"/>
  <c r="U280" i="21"/>
  <c r="M280" i="21"/>
  <c r="T280" i="21"/>
  <c r="L280" i="21"/>
  <c r="C282" i="21"/>
  <c r="Q281" i="21"/>
  <c r="I282" i="21"/>
  <c r="B282" i="21"/>
  <c r="E282" i="21"/>
  <c r="G282" i="21"/>
  <c r="V281" i="21"/>
  <c r="P281" i="21"/>
  <c r="J282" i="21"/>
  <c r="S281" i="21"/>
  <c r="O281" i="21"/>
  <c r="K282" i="21"/>
  <c r="F282" i="21"/>
  <c r="J102" i="21" l="1"/>
  <c r="T102" i="21" s="1"/>
  <c r="V102" i="21"/>
  <c r="E283" i="21"/>
  <c r="G283" i="21"/>
  <c r="Q282" i="21"/>
  <c r="P282" i="21"/>
  <c r="V282" i="21"/>
  <c r="K283" i="21"/>
  <c r="O282" i="21"/>
  <c r="C283" i="21"/>
  <c r="F283" i="21"/>
  <c r="S282" i="21"/>
  <c r="I283" i="21"/>
  <c r="J283" i="21"/>
  <c r="B283" i="21"/>
  <c r="L281" i="21"/>
  <c r="T281" i="21"/>
  <c r="M281" i="21"/>
  <c r="U281" i="21"/>
  <c r="L102" i="21" l="1"/>
  <c r="M102" i="21"/>
  <c r="U102" i="21"/>
  <c r="S103" i="21"/>
  <c r="Q102" i="21"/>
  <c r="I103" i="21"/>
  <c r="L282" i="21"/>
  <c r="M282" i="21"/>
  <c r="U282" i="21"/>
  <c r="T282" i="21"/>
  <c r="P283" i="21"/>
  <c r="F284" i="21"/>
  <c r="K284" i="21"/>
  <c r="C284" i="21"/>
  <c r="G284" i="21"/>
  <c r="S283" i="21"/>
  <c r="J284" i="21"/>
  <c r="Q283" i="21"/>
  <c r="I284" i="21"/>
  <c r="V283" i="21"/>
  <c r="O283" i="21"/>
  <c r="E284" i="21"/>
  <c r="B284" i="21"/>
  <c r="K103" i="21" l="1"/>
  <c r="U283" i="21"/>
  <c r="L283" i="21"/>
  <c r="T283" i="21"/>
  <c r="M283" i="21"/>
  <c r="G285" i="21"/>
  <c r="C285" i="21"/>
  <c r="K285" i="21"/>
  <c r="V284" i="21"/>
  <c r="P284" i="21"/>
  <c r="J285" i="21"/>
  <c r="S284" i="21"/>
  <c r="I285" i="21"/>
  <c r="B285" i="21"/>
  <c r="E285" i="21"/>
  <c r="Q284" i="21"/>
  <c r="O284" i="21"/>
  <c r="F285" i="21"/>
  <c r="J103" i="21" l="1"/>
  <c r="V103" i="21"/>
  <c r="M284" i="21"/>
  <c r="L284" i="21"/>
  <c r="T284" i="21"/>
  <c r="U284" i="21"/>
  <c r="E286" i="21"/>
  <c r="P285" i="21"/>
  <c r="I286" i="21"/>
  <c r="F286" i="21"/>
  <c r="B286" i="21"/>
  <c r="K286" i="21"/>
  <c r="C286" i="21"/>
  <c r="V285" i="21"/>
  <c r="J286" i="21"/>
  <c r="Q285" i="21"/>
  <c r="G286" i="21"/>
  <c r="S285" i="21"/>
  <c r="O285" i="21"/>
  <c r="I104" i="21" l="1"/>
  <c r="M103" i="21"/>
  <c r="T103" i="21"/>
  <c r="L103" i="21"/>
  <c r="M285" i="21"/>
  <c r="L285" i="21"/>
  <c r="U285" i="21"/>
  <c r="T285" i="21"/>
  <c r="C287" i="21"/>
  <c r="G287" i="21"/>
  <c r="S286" i="21"/>
  <c r="E287" i="21"/>
  <c r="V286" i="21"/>
  <c r="J287" i="21"/>
  <c r="P286" i="21"/>
  <c r="Q286" i="21"/>
  <c r="F287" i="21"/>
  <c r="I287" i="21"/>
  <c r="B287" i="21"/>
  <c r="O286" i="21"/>
  <c r="K287" i="21"/>
  <c r="S104" i="21" l="1"/>
  <c r="U103" i="21"/>
  <c r="K104" i="21"/>
  <c r="Q103" i="21"/>
  <c r="P287" i="21"/>
  <c r="F288" i="21"/>
  <c r="K288" i="21"/>
  <c r="O287" i="21"/>
  <c r="C288" i="21"/>
  <c r="V287" i="21"/>
  <c r="Q287" i="21"/>
  <c r="B288" i="21"/>
  <c r="I288" i="21"/>
  <c r="E288" i="21"/>
  <c r="J288" i="21"/>
  <c r="G288" i="21"/>
  <c r="S287" i="21"/>
  <c r="T286" i="21"/>
  <c r="L286" i="21"/>
  <c r="U286" i="21"/>
  <c r="M286" i="21"/>
  <c r="J104" i="21" l="1"/>
  <c r="L104" i="21" s="1"/>
  <c r="V104" i="21"/>
  <c r="F289" i="21"/>
  <c r="B289" i="21"/>
  <c r="Q288" i="21"/>
  <c r="J289" i="21"/>
  <c r="C289" i="21"/>
  <c r="K289" i="21"/>
  <c r="P288" i="21"/>
  <c r="I289" i="21"/>
  <c r="V288" i="21"/>
  <c r="G289" i="21"/>
  <c r="E289" i="21"/>
  <c r="O288" i="21"/>
  <c r="S288" i="21"/>
  <c r="M287" i="21"/>
  <c r="L287" i="21"/>
  <c r="T287" i="21"/>
  <c r="U287" i="21"/>
  <c r="M104" i="21" l="1"/>
  <c r="T104" i="21"/>
  <c r="Q104" i="21" s="1"/>
  <c r="I105" i="21"/>
  <c r="G290" i="21"/>
  <c r="B290" i="21"/>
  <c r="K290" i="21"/>
  <c r="O289" i="21"/>
  <c r="V289" i="21"/>
  <c r="E290" i="21"/>
  <c r="C290" i="21"/>
  <c r="P289" i="21"/>
  <c r="S289" i="21"/>
  <c r="J290" i="21"/>
  <c r="I290" i="21"/>
  <c r="F290" i="21"/>
  <c r="Q289" i="21"/>
  <c r="T288" i="21"/>
  <c r="M288" i="21"/>
  <c r="L288" i="21"/>
  <c r="U288" i="21"/>
  <c r="K105" i="21" l="1"/>
  <c r="U104" i="21"/>
  <c r="S105" i="21"/>
  <c r="B291" i="21"/>
  <c r="G291" i="21"/>
  <c r="F291" i="21"/>
  <c r="O290" i="21"/>
  <c r="I291" i="21"/>
  <c r="S290" i="21"/>
  <c r="E291" i="21"/>
  <c r="J291" i="21"/>
  <c r="K291" i="21"/>
  <c r="C291" i="21"/>
  <c r="Q290" i="21"/>
  <c r="V290" i="21"/>
  <c r="P290" i="21"/>
  <c r="M289" i="21"/>
  <c r="T289" i="21"/>
  <c r="L289" i="21"/>
  <c r="U289" i="21"/>
  <c r="J105" i="21" l="1"/>
  <c r="V105" i="21"/>
  <c r="U290" i="21"/>
  <c r="M290" i="21"/>
  <c r="L290" i="21"/>
  <c r="T290" i="21"/>
  <c r="O291" i="21"/>
  <c r="C292" i="21"/>
  <c r="Q291" i="21"/>
  <c r="V291" i="21"/>
  <c r="B292" i="21"/>
  <c r="E292" i="21"/>
  <c r="S291" i="21"/>
  <c r="P291" i="21"/>
  <c r="I292" i="21"/>
  <c r="G292" i="21"/>
  <c r="J292" i="21"/>
  <c r="K292" i="21"/>
  <c r="F292" i="21"/>
  <c r="I106" i="21" l="1"/>
  <c r="L105" i="21"/>
  <c r="M105" i="21"/>
  <c r="T105" i="21"/>
  <c r="M291" i="21"/>
  <c r="T291" i="21"/>
  <c r="U291" i="21"/>
  <c r="L291" i="21"/>
  <c r="E293" i="21"/>
  <c r="V292" i="21"/>
  <c r="Q292" i="21"/>
  <c r="O292" i="21"/>
  <c r="F293" i="21"/>
  <c r="B293" i="21"/>
  <c r="K293" i="21"/>
  <c r="P292" i="21"/>
  <c r="C293" i="21"/>
  <c r="S292" i="21"/>
  <c r="G293" i="21"/>
  <c r="I293" i="21"/>
  <c r="J293" i="21"/>
  <c r="U105" i="21" l="1"/>
  <c r="S106" i="21"/>
  <c r="K106" i="21"/>
  <c r="Q105" i="21"/>
  <c r="T292" i="21"/>
  <c r="M292" i="21"/>
  <c r="U292" i="21"/>
  <c r="L292" i="21"/>
  <c r="B294" i="21"/>
  <c r="P293" i="21"/>
  <c r="S293" i="21"/>
  <c r="E294" i="21"/>
  <c r="O293" i="21"/>
  <c r="V293" i="21"/>
  <c r="Q293" i="21"/>
  <c r="C294" i="21"/>
  <c r="F294" i="21"/>
  <c r="I294" i="21"/>
  <c r="J294" i="21"/>
  <c r="K294" i="21"/>
  <c r="G294" i="21"/>
  <c r="J106" i="21" l="1"/>
  <c r="L106" i="21" s="1"/>
  <c r="V106" i="21"/>
  <c r="M293" i="21"/>
  <c r="U293" i="21"/>
  <c r="T293" i="21"/>
  <c r="L293" i="21"/>
  <c r="C295" i="21"/>
  <c r="B295" i="21"/>
  <c r="I295" i="21"/>
  <c r="J295" i="21"/>
  <c r="G295" i="21"/>
  <c r="S294" i="21"/>
  <c r="P294" i="21"/>
  <c r="Q294" i="21"/>
  <c r="E295" i="21"/>
  <c r="V294" i="21"/>
  <c r="K295" i="21"/>
  <c r="F295" i="21"/>
  <c r="O294" i="21"/>
  <c r="M106" i="21" l="1"/>
  <c r="T106" i="21"/>
  <c r="Q106" i="21" s="1"/>
  <c r="I107" i="21"/>
  <c r="T294" i="21"/>
  <c r="L294" i="21"/>
  <c r="M294" i="21"/>
  <c r="U294" i="21"/>
  <c r="F296" i="21"/>
  <c r="P295" i="21"/>
  <c r="Q295" i="21"/>
  <c r="G296" i="21"/>
  <c r="E296" i="21"/>
  <c r="K296" i="21"/>
  <c r="B296" i="21"/>
  <c r="V295" i="21"/>
  <c r="S295" i="21"/>
  <c r="C296" i="21"/>
  <c r="J296" i="21"/>
  <c r="I296" i="21"/>
  <c r="O295" i="21"/>
  <c r="K107" i="21" l="1"/>
  <c r="U106" i="21"/>
  <c r="S107" i="21"/>
  <c r="M295" i="21"/>
  <c r="U295" i="21"/>
  <c r="T295" i="21"/>
  <c r="L295" i="21"/>
  <c r="G297" i="21"/>
  <c r="O296" i="21"/>
  <c r="S296" i="21"/>
  <c r="C297" i="21"/>
  <c r="J297" i="21"/>
  <c r="K297" i="21"/>
  <c r="V296" i="21"/>
  <c r="B297" i="21"/>
  <c r="E297" i="21"/>
  <c r="Q296" i="21"/>
  <c r="F297" i="21"/>
  <c r="P296" i="21"/>
  <c r="I297" i="21"/>
  <c r="J107" i="21" l="1"/>
  <c r="V107" i="21"/>
  <c r="F298" i="21"/>
  <c r="S297" i="21"/>
  <c r="C298" i="21"/>
  <c r="G298" i="21"/>
  <c r="K298" i="21"/>
  <c r="I298" i="21"/>
  <c r="P297" i="21"/>
  <c r="B298" i="21"/>
  <c r="V297" i="21"/>
  <c r="Q297" i="21"/>
  <c r="E298" i="21"/>
  <c r="J298" i="21"/>
  <c r="O297" i="21"/>
  <c r="U296" i="21"/>
  <c r="M296" i="21"/>
  <c r="T296" i="21"/>
  <c r="L296" i="21"/>
  <c r="I108" i="21" l="1"/>
  <c r="M107" i="21"/>
  <c r="L107" i="21"/>
  <c r="T107" i="21"/>
  <c r="F299" i="21"/>
  <c r="C299" i="21"/>
  <c r="Q298" i="21"/>
  <c r="O298" i="21"/>
  <c r="G299" i="21"/>
  <c r="V298" i="21"/>
  <c r="I299" i="21"/>
  <c r="E299" i="21"/>
  <c r="K299" i="21"/>
  <c r="P298" i="21"/>
  <c r="S298" i="21"/>
  <c r="B299" i="21"/>
  <c r="J299" i="21"/>
  <c r="T297" i="21"/>
  <c r="L297" i="21"/>
  <c r="U297" i="21"/>
  <c r="M297" i="21"/>
  <c r="U107" i="21" l="1"/>
  <c r="S108" i="21"/>
  <c r="K108" i="21"/>
  <c r="Q107" i="21"/>
  <c r="E300" i="21"/>
  <c r="P299" i="21"/>
  <c r="I300" i="21"/>
  <c r="O299" i="21"/>
  <c r="B300" i="21"/>
  <c r="S299" i="21"/>
  <c r="G300" i="21"/>
  <c r="Q299" i="21"/>
  <c r="V299" i="21"/>
  <c r="K300" i="21"/>
  <c r="C300" i="21"/>
  <c r="F300" i="21"/>
  <c r="J300" i="21"/>
  <c r="M298" i="21"/>
  <c r="L298" i="21"/>
  <c r="T298" i="21"/>
  <c r="U298" i="21"/>
  <c r="J108" i="21" l="1"/>
  <c r="M108" i="21" s="1"/>
  <c r="V108" i="21"/>
  <c r="U299" i="21"/>
  <c r="T299" i="21"/>
  <c r="L299" i="21"/>
  <c r="M299" i="21"/>
  <c r="B301" i="21"/>
  <c r="F301" i="21"/>
  <c r="V300" i="21"/>
  <c r="S300" i="21"/>
  <c r="C301" i="21"/>
  <c r="J301" i="21"/>
  <c r="I301" i="21"/>
  <c r="G301" i="21"/>
  <c r="P300" i="21"/>
  <c r="K301" i="21"/>
  <c r="Q300" i="21"/>
  <c r="E301" i="21"/>
  <c r="O300" i="21"/>
  <c r="T108" i="21" l="1"/>
  <c r="S109" i="21" s="1"/>
  <c r="L108" i="21"/>
  <c r="U108" i="21"/>
  <c r="Q108" i="21"/>
  <c r="I109" i="21"/>
  <c r="T300" i="21"/>
  <c r="U300" i="21"/>
  <c r="L300" i="21"/>
  <c r="M300" i="21"/>
  <c r="O301" i="21"/>
  <c r="E302" i="21"/>
  <c r="V301" i="21"/>
  <c r="G302" i="21"/>
  <c r="B302" i="21"/>
  <c r="Q301" i="21"/>
  <c r="I302" i="21"/>
  <c r="P301" i="21"/>
  <c r="K302" i="21"/>
  <c r="C302" i="21"/>
  <c r="J302" i="21"/>
  <c r="F302" i="21"/>
  <c r="S301" i="21"/>
  <c r="K109" i="21" l="1"/>
  <c r="M301" i="21"/>
  <c r="U301" i="21"/>
  <c r="T301" i="21"/>
  <c r="L301" i="21"/>
  <c r="O302" i="21"/>
  <c r="F303" i="21"/>
  <c r="K303" i="21"/>
  <c r="I303" i="21"/>
  <c r="P302" i="21"/>
  <c r="G303" i="21"/>
  <c r="S302" i="21"/>
  <c r="J303" i="21"/>
  <c r="V302" i="21"/>
  <c r="B303" i="21"/>
  <c r="E303" i="21"/>
  <c r="C303" i="21"/>
  <c r="Q302" i="21"/>
  <c r="J109" i="21" l="1"/>
  <c r="L109" i="21" s="1"/>
  <c r="V109" i="21"/>
  <c r="U302" i="21"/>
  <c r="M302" i="21"/>
  <c r="L302" i="21"/>
  <c r="T302" i="21"/>
  <c r="C304" i="21"/>
  <c r="P303" i="21"/>
  <c r="K304" i="21"/>
  <c r="O303" i="21"/>
  <c r="G304" i="21"/>
  <c r="S303" i="21"/>
  <c r="B304" i="21"/>
  <c r="I304" i="21"/>
  <c r="E304" i="21"/>
  <c r="Q303" i="21"/>
  <c r="J304" i="21"/>
  <c r="F304" i="21"/>
  <c r="V303" i="21"/>
  <c r="M109" i="21" l="1"/>
  <c r="T109" i="21"/>
  <c r="I110" i="21"/>
  <c r="J305" i="21"/>
  <c r="C305" i="21"/>
  <c r="V304" i="21"/>
  <c r="E305" i="21"/>
  <c r="P304" i="21"/>
  <c r="Q304" i="21"/>
  <c r="G305" i="21"/>
  <c r="K305" i="21"/>
  <c r="B305" i="21"/>
  <c r="F305" i="21"/>
  <c r="S304" i="21"/>
  <c r="I305" i="21"/>
  <c r="O304" i="21"/>
  <c r="T303" i="21"/>
  <c r="L303" i="21"/>
  <c r="U303" i="21"/>
  <c r="M303" i="21"/>
  <c r="K110" i="21" l="1"/>
  <c r="S110" i="21"/>
  <c r="U109" i="21"/>
  <c r="Q109" i="21"/>
  <c r="M304" i="21"/>
  <c r="L304" i="21"/>
  <c r="U304" i="21"/>
  <c r="T304" i="21"/>
  <c r="E306" i="21"/>
  <c r="C306" i="21"/>
  <c r="V305" i="21"/>
  <c r="Q305" i="21"/>
  <c r="F306" i="21"/>
  <c r="J306" i="21"/>
  <c r="I306" i="21"/>
  <c r="O305" i="21"/>
  <c r="K306" i="21"/>
  <c r="B306" i="21"/>
  <c r="G306" i="21"/>
  <c r="P305" i="21"/>
  <c r="S305" i="21"/>
  <c r="J110" i="21" l="1"/>
  <c r="V110" i="21"/>
  <c r="C307" i="21"/>
  <c r="B307" i="21"/>
  <c r="K307" i="21"/>
  <c r="O306" i="21"/>
  <c r="G307" i="21"/>
  <c r="S306" i="21"/>
  <c r="F307" i="21"/>
  <c r="J307" i="21"/>
  <c r="I307" i="21"/>
  <c r="E307" i="21"/>
  <c r="P306" i="21"/>
  <c r="V306" i="21"/>
  <c r="Q306" i="21"/>
  <c r="M305" i="21"/>
  <c r="U305" i="21"/>
  <c r="L305" i="21"/>
  <c r="T305" i="21"/>
  <c r="I111" i="21" l="1"/>
  <c r="L110" i="21"/>
  <c r="T110" i="21"/>
  <c r="M110" i="21"/>
  <c r="T306" i="21"/>
  <c r="U306" i="21"/>
  <c r="M306" i="21"/>
  <c r="L306" i="21"/>
  <c r="C308" i="21"/>
  <c r="E308" i="21"/>
  <c r="I308" i="21"/>
  <c r="J308" i="21"/>
  <c r="O307" i="21"/>
  <c r="V307" i="21"/>
  <c r="K308" i="21"/>
  <c r="F308" i="21"/>
  <c r="G308" i="21"/>
  <c r="Q307" i="21"/>
  <c r="P307" i="21"/>
  <c r="S307" i="21"/>
  <c r="B308" i="21"/>
  <c r="U110" i="21" l="1"/>
  <c r="S111" i="21"/>
  <c r="K111" i="21"/>
  <c r="Q110" i="21"/>
  <c r="T307" i="21"/>
  <c r="U307" i="21"/>
  <c r="M307" i="21"/>
  <c r="L307" i="21"/>
  <c r="O308" i="21"/>
  <c r="G309" i="21"/>
  <c r="V308" i="21"/>
  <c r="C309" i="21"/>
  <c r="F309" i="21"/>
  <c r="I309" i="21"/>
  <c r="J309" i="21"/>
  <c r="Q308" i="21"/>
  <c r="P308" i="21"/>
  <c r="S308" i="21"/>
  <c r="K309" i="21"/>
  <c r="B309" i="21"/>
  <c r="E309" i="21"/>
  <c r="J111" i="21" l="1"/>
  <c r="M111" i="21" s="1"/>
  <c r="V111" i="21"/>
  <c r="O309" i="21"/>
  <c r="F310" i="21"/>
  <c r="S309" i="21"/>
  <c r="B310" i="21"/>
  <c r="E310" i="21"/>
  <c r="V309" i="21"/>
  <c r="K310" i="21"/>
  <c r="G310" i="21"/>
  <c r="J310" i="21"/>
  <c r="Q309" i="21"/>
  <c r="P309" i="21"/>
  <c r="C310" i="21"/>
  <c r="I310" i="21"/>
  <c r="M308" i="21"/>
  <c r="T308" i="21"/>
  <c r="U308" i="21"/>
  <c r="L308" i="21"/>
  <c r="T111" i="21" l="1"/>
  <c r="U111" i="21" s="1"/>
  <c r="L111" i="21"/>
  <c r="Q111" i="21"/>
  <c r="I112" i="21"/>
  <c r="P310" i="21"/>
  <c r="E311" i="21"/>
  <c r="V310" i="21"/>
  <c r="C311" i="21"/>
  <c r="F311" i="21"/>
  <c r="I311" i="21"/>
  <c r="J311" i="21"/>
  <c r="S310" i="21"/>
  <c r="O310" i="21"/>
  <c r="K311" i="21"/>
  <c r="Q310" i="21"/>
  <c r="G311" i="21"/>
  <c r="B311" i="21"/>
  <c r="T309" i="21"/>
  <c r="L309" i="21"/>
  <c r="M309" i="21"/>
  <c r="U309" i="21"/>
  <c r="S112" i="21" l="1"/>
  <c r="K112" i="21"/>
  <c r="T310" i="21"/>
  <c r="L310" i="21"/>
  <c r="M310" i="21"/>
  <c r="U310" i="21"/>
  <c r="O311" i="21"/>
  <c r="C312" i="21"/>
  <c r="S311" i="21"/>
  <c r="P311" i="21"/>
  <c r="E312" i="21"/>
  <c r="Q311" i="21"/>
  <c r="J312" i="21"/>
  <c r="K312" i="21"/>
  <c r="B312" i="21"/>
  <c r="V311" i="21"/>
  <c r="I312" i="21"/>
  <c r="F312" i="21"/>
  <c r="G312" i="21"/>
  <c r="J112" i="21" l="1"/>
  <c r="V112" i="21"/>
  <c r="L311" i="21"/>
  <c r="M311" i="21"/>
  <c r="U311" i="21"/>
  <c r="T311" i="21"/>
  <c r="O312" i="21"/>
  <c r="F313" i="21"/>
  <c r="S312" i="21"/>
  <c r="C313" i="21"/>
  <c r="E313" i="21"/>
  <c r="I313" i="21"/>
  <c r="J313" i="21"/>
  <c r="V312" i="21"/>
  <c r="K313" i="21"/>
  <c r="Q312" i="21"/>
  <c r="P312" i="21"/>
  <c r="G313" i="21"/>
  <c r="B313" i="21"/>
  <c r="I113" i="21" l="1"/>
  <c r="L112" i="21"/>
  <c r="M112" i="21"/>
  <c r="T112" i="21"/>
  <c r="T312" i="21"/>
  <c r="M312" i="21"/>
  <c r="U312" i="21"/>
  <c r="L312" i="21"/>
  <c r="B314" i="21"/>
  <c r="F314" i="21"/>
  <c r="Q313" i="21"/>
  <c r="O313" i="21"/>
  <c r="P313" i="21"/>
  <c r="S313" i="21"/>
  <c r="C314" i="21"/>
  <c r="I314" i="21"/>
  <c r="E314" i="21"/>
  <c r="V313" i="21"/>
  <c r="G314" i="21"/>
  <c r="J314" i="21"/>
  <c r="K314" i="21"/>
  <c r="U112" i="21" l="1"/>
  <c r="S113" i="21"/>
  <c r="K113" i="21"/>
  <c r="Q112" i="21"/>
  <c r="M313" i="21"/>
  <c r="L313" i="21"/>
  <c r="U313" i="21"/>
  <c r="T313" i="21"/>
  <c r="F315" i="21"/>
  <c r="B315" i="21"/>
  <c r="Q314" i="21"/>
  <c r="K315" i="21"/>
  <c r="G315" i="21"/>
  <c r="E315" i="21"/>
  <c r="S314" i="21"/>
  <c r="C315" i="21"/>
  <c r="I315" i="21"/>
  <c r="O314" i="21"/>
  <c r="V314" i="21"/>
  <c r="P314" i="21"/>
  <c r="J315" i="21"/>
  <c r="J113" i="21" l="1"/>
  <c r="T113" i="21" s="1"/>
  <c r="V113" i="21"/>
  <c r="T314" i="21"/>
  <c r="U314" i="21"/>
  <c r="M314" i="21"/>
  <c r="L314" i="21"/>
  <c r="E316" i="21"/>
  <c r="I316" i="21"/>
  <c r="Q315" i="21"/>
  <c r="O315" i="21"/>
  <c r="J316" i="21"/>
  <c r="G316" i="21"/>
  <c r="V315" i="21"/>
  <c r="B316" i="21"/>
  <c r="C316" i="21"/>
  <c r="K316" i="21"/>
  <c r="S315" i="21"/>
  <c r="P315" i="21"/>
  <c r="F316" i="21"/>
  <c r="L113" i="21" l="1"/>
  <c r="M113" i="21"/>
  <c r="U113" i="21"/>
  <c r="S114" i="21"/>
  <c r="Q113" i="21"/>
  <c r="I114" i="21"/>
  <c r="C317" i="21"/>
  <c r="E317" i="21"/>
  <c r="S316" i="21"/>
  <c r="P316" i="21"/>
  <c r="O316" i="21"/>
  <c r="V316" i="21"/>
  <c r="J317" i="21"/>
  <c r="F317" i="21"/>
  <c r="I317" i="21"/>
  <c r="Q316" i="21"/>
  <c r="G317" i="21"/>
  <c r="B317" i="21"/>
  <c r="K317" i="21"/>
  <c r="U315" i="21"/>
  <c r="T315" i="21"/>
  <c r="L315" i="21"/>
  <c r="M315" i="21"/>
  <c r="K114" i="21" l="1"/>
  <c r="P317" i="21"/>
  <c r="J318" i="21"/>
  <c r="Q317" i="21"/>
  <c r="C318" i="21"/>
  <c r="E318" i="21"/>
  <c r="I318" i="21"/>
  <c r="G318" i="21"/>
  <c r="K318" i="21"/>
  <c r="F318" i="21"/>
  <c r="V317" i="21"/>
  <c r="B318" i="21"/>
  <c r="S317" i="21"/>
  <c r="O317" i="21"/>
  <c r="L316" i="21"/>
  <c r="U316" i="21"/>
  <c r="T316" i="21"/>
  <c r="M316" i="21"/>
  <c r="J114" i="21" l="1"/>
  <c r="V114" i="21"/>
  <c r="M317" i="21"/>
  <c r="U317" i="21"/>
  <c r="L317" i="21"/>
  <c r="T317" i="21"/>
  <c r="J319" i="21"/>
  <c r="E319" i="21"/>
  <c r="V318" i="21"/>
  <c r="G319" i="21"/>
  <c r="C319" i="21"/>
  <c r="I319" i="21"/>
  <c r="B319" i="21"/>
  <c r="Q318" i="21"/>
  <c r="O318" i="21"/>
  <c r="K319" i="21"/>
  <c r="S318" i="21"/>
  <c r="F319" i="21"/>
  <c r="P318" i="21"/>
  <c r="M114" i="21" l="1"/>
  <c r="I115" i="21"/>
  <c r="T114" i="21"/>
  <c r="L114" i="21"/>
  <c r="P319" i="21"/>
  <c r="J320" i="21"/>
  <c r="V319" i="21"/>
  <c r="E320" i="21"/>
  <c r="B320" i="21"/>
  <c r="Q319" i="21"/>
  <c r="G320" i="21"/>
  <c r="K320" i="21"/>
  <c r="C320" i="21"/>
  <c r="S319" i="21"/>
  <c r="I320" i="21"/>
  <c r="O319" i="21"/>
  <c r="F320" i="21"/>
  <c r="L318" i="21"/>
  <c r="U318" i="21"/>
  <c r="M318" i="21"/>
  <c r="T318" i="21"/>
  <c r="U114" i="21" l="1"/>
  <c r="S115" i="21"/>
  <c r="K115" i="21"/>
  <c r="Q114" i="21"/>
  <c r="L319" i="21"/>
  <c r="U319" i="21"/>
  <c r="T319" i="21"/>
  <c r="M319" i="21"/>
  <c r="B321" i="21"/>
  <c r="E321" i="21"/>
  <c r="Q320" i="21"/>
  <c r="P320" i="21"/>
  <c r="F321" i="21"/>
  <c r="S320" i="21"/>
  <c r="J321" i="21"/>
  <c r="V320" i="21"/>
  <c r="O320" i="21"/>
  <c r="K321" i="21"/>
  <c r="C321" i="21"/>
  <c r="I321" i="21"/>
  <c r="G321" i="21"/>
  <c r="J115" i="21" l="1"/>
  <c r="L115" i="21" s="1"/>
  <c r="V115" i="21"/>
  <c r="U320" i="21"/>
  <c r="L320" i="21"/>
  <c r="M320" i="21"/>
  <c r="T320" i="21"/>
  <c r="O321" i="21"/>
  <c r="E322" i="21"/>
  <c r="S321" i="21"/>
  <c r="G322" i="21"/>
  <c r="C322" i="21"/>
  <c r="K322" i="21"/>
  <c r="I322" i="21"/>
  <c r="J322" i="21"/>
  <c r="Q321" i="21"/>
  <c r="F322" i="21"/>
  <c r="B322" i="21"/>
  <c r="P321" i="21"/>
  <c r="V321" i="21"/>
  <c r="T115" i="21" l="1"/>
  <c r="S116" i="21" s="1"/>
  <c r="M115" i="21"/>
  <c r="U115" i="21"/>
  <c r="Q115" i="21"/>
  <c r="I116" i="21"/>
  <c r="J323" i="21"/>
  <c r="O322" i="21"/>
  <c r="V322" i="21"/>
  <c r="G323" i="21"/>
  <c r="C323" i="21"/>
  <c r="I323" i="21"/>
  <c r="P322" i="21"/>
  <c r="B323" i="21"/>
  <c r="E323" i="21"/>
  <c r="K323" i="21"/>
  <c r="Q322" i="21"/>
  <c r="F323" i="21"/>
  <c r="S322" i="21"/>
  <c r="T321" i="21"/>
  <c r="M321" i="21"/>
  <c r="U321" i="21"/>
  <c r="L321" i="21"/>
  <c r="K116" i="21" l="1"/>
  <c r="G324" i="21"/>
  <c r="B324" i="21"/>
  <c r="I324" i="21"/>
  <c r="P323" i="21"/>
  <c r="J324" i="21"/>
  <c r="V323" i="21"/>
  <c r="S323" i="21"/>
  <c r="C324" i="21"/>
  <c r="E324" i="21"/>
  <c r="Q323" i="21"/>
  <c r="F324" i="21"/>
  <c r="K324" i="21"/>
  <c r="O323" i="21"/>
  <c r="U322" i="21"/>
  <c r="M322" i="21"/>
  <c r="L322" i="21"/>
  <c r="T322" i="21"/>
  <c r="J116" i="21" l="1"/>
  <c r="M116" i="21" s="1"/>
  <c r="V116" i="21"/>
  <c r="U323" i="21"/>
  <c r="T323" i="21"/>
  <c r="L323" i="21"/>
  <c r="M323" i="21"/>
  <c r="C325" i="21"/>
  <c r="P324" i="21"/>
  <c r="I325" i="21"/>
  <c r="V324" i="21"/>
  <c r="E325" i="21"/>
  <c r="J325" i="21"/>
  <c r="Q324" i="21"/>
  <c r="G325" i="21"/>
  <c r="K325" i="21"/>
  <c r="O324" i="21"/>
  <c r="F325" i="21"/>
  <c r="B325" i="21"/>
  <c r="S324" i="21"/>
  <c r="L116" i="21" l="1"/>
  <c r="T116" i="21"/>
  <c r="I117" i="21"/>
  <c r="P325" i="21"/>
  <c r="O325" i="21"/>
  <c r="I326" i="21"/>
  <c r="E326" i="21"/>
  <c r="C326" i="21"/>
  <c r="S325" i="21"/>
  <c r="K326" i="21"/>
  <c r="G326" i="21"/>
  <c r="Q325" i="21"/>
  <c r="F326" i="21"/>
  <c r="J326" i="21"/>
  <c r="V325" i="21"/>
  <c r="B326" i="21"/>
  <c r="U324" i="21"/>
  <c r="L324" i="21"/>
  <c r="T324" i="21"/>
  <c r="M324" i="21"/>
  <c r="K117" i="21" l="1"/>
  <c r="U116" i="21"/>
  <c r="S117" i="21"/>
  <c r="Q116" i="21"/>
  <c r="L325" i="21"/>
  <c r="M325" i="21"/>
  <c r="U325" i="21"/>
  <c r="T325" i="21"/>
  <c r="G327" i="21"/>
  <c r="J327" i="21"/>
  <c r="S326" i="21"/>
  <c r="C327" i="21"/>
  <c r="E327" i="21"/>
  <c r="K327" i="21"/>
  <c r="B327" i="21"/>
  <c r="V326" i="21"/>
  <c r="O326" i="21"/>
  <c r="P326" i="21"/>
  <c r="Q326" i="21"/>
  <c r="F327" i="21"/>
  <c r="I327" i="21"/>
  <c r="J117" i="21" l="1"/>
  <c r="T117" i="21" s="1"/>
  <c r="V117" i="21"/>
  <c r="O327" i="21"/>
  <c r="J328" i="21"/>
  <c r="Q327" i="21"/>
  <c r="B328" i="21"/>
  <c r="F328" i="21"/>
  <c r="S327" i="21"/>
  <c r="E328" i="21"/>
  <c r="I328" i="21"/>
  <c r="V327" i="21"/>
  <c r="G328" i="21"/>
  <c r="C328" i="21"/>
  <c r="K328" i="21"/>
  <c r="P327" i="21"/>
  <c r="L326" i="21"/>
  <c r="T326" i="21"/>
  <c r="U326" i="21"/>
  <c r="M326" i="21"/>
  <c r="S118" i="21" l="1"/>
  <c r="U117" i="21"/>
  <c r="Q117" i="21"/>
  <c r="I118" i="21"/>
  <c r="M117" i="21"/>
  <c r="L117" i="21"/>
  <c r="G329" i="21"/>
  <c r="O328" i="21"/>
  <c r="S328" i="21"/>
  <c r="Q328" i="21"/>
  <c r="C329" i="21"/>
  <c r="B329" i="21"/>
  <c r="V328" i="21"/>
  <c r="E329" i="21"/>
  <c r="P328" i="21"/>
  <c r="I329" i="21"/>
  <c r="F329" i="21"/>
  <c r="J329" i="21"/>
  <c r="K329" i="21"/>
  <c r="L327" i="21"/>
  <c r="M327" i="21"/>
  <c r="U327" i="21"/>
  <c r="T327" i="21"/>
  <c r="K118" i="21" l="1"/>
  <c r="T328" i="21"/>
  <c r="L328" i="21"/>
  <c r="M328" i="21"/>
  <c r="U328" i="21"/>
  <c r="C330" i="21"/>
  <c r="E330" i="21"/>
  <c r="K330" i="21"/>
  <c r="P329" i="21"/>
  <c r="V329" i="21"/>
  <c r="S329" i="21"/>
  <c r="B330" i="21"/>
  <c r="I330" i="21"/>
  <c r="F330" i="21"/>
  <c r="J330" i="21"/>
  <c r="G330" i="21"/>
  <c r="O329" i="21"/>
  <c r="Q329" i="21"/>
  <c r="J118" i="21" l="1"/>
  <c r="V118" i="21"/>
  <c r="G331" i="21"/>
  <c r="B331" i="21"/>
  <c r="V330" i="21"/>
  <c r="E331" i="21"/>
  <c r="C331" i="21"/>
  <c r="S330" i="21"/>
  <c r="K331" i="21"/>
  <c r="J331" i="21"/>
  <c r="I331" i="21"/>
  <c r="F331" i="21"/>
  <c r="O330" i="21"/>
  <c r="Q330" i="21"/>
  <c r="P330" i="21"/>
  <c r="L329" i="21"/>
  <c r="T329" i="21"/>
  <c r="U329" i="21"/>
  <c r="M329" i="21"/>
  <c r="I119" i="21" l="1"/>
  <c r="M118" i="21"/>
  <c r="L118" i="21"/>
  <c r="T118" i="21"/>
  <c r="T330" i="21"/>
  <c r="M330" i="21"/>
  <c r="L330" i="21"/>
  <c r="U330" i="21"/>
  <c r="P331" i="21"/>
  <c r="B332" i="21"/>
  <c r="S331" i="21"/>
  <c r="I332" i="21"/>
  <c r="E332" i="21"/>
  <c r="G332" i="21"/>
  <c r="K332" i="21"/>
  <c r="O331" i="21"/>
  <c r="V331" i="21"/>
  <c r="Q331" i="21"/>
  <c r="J332" i="21"/>
  <c r="F332" i="21"/>
  <c r="C332" i="21"/>
  <c r="U118" i="21" l="1"/>
  <c r="S119" i="21"/>
  <c r="K119" i="21"/>
  <c r="Q118" i="21"/>
  <c r="L331" i="21"/>
  <c r="U331" i="21"/>
  <c r="M331" i="21"/>
  <c r="T331" i="21"/>
  <c r="E333" i="21"/>
  <c r="J333" i="21"/>
  <c r="S332" i="21"/>
  <c r="C333" i="21"/>
  <c r="F333" i="21"/>
  <c r="K333" i="21"/>
  <c r="I333" i="21"/>
  <c r="O332" i="21"/>
  <c r="Q332" i="21"/>
  <c r="V332" i="21"/>
  <c r="G333" i="21"/>
  <c r="P332" i="21"/>
  <c r="B333" i="21"/>
  <c r="J119" i="21" l="1"/>
  <c r="T119" i="21" s="1"/>
  <c r="V119" i="21"/>
  <c r="U332" i="21"/>
  <c r="M332" i="21"/>
  <c r="L332" i="21"/>
  <c r="T332" i="21"/>
  <c r="P333" i="21"/>
  <c r="B334" i="21"/>
  <c r="K334" i="21"/>
  <c r="O333" i="21"/>
  <c r="E334" i="21"/>
  <c r="S333" i="21"/>
  <c r="V333" i="21"/>
  <c r="G334" i="21"/>
  <c r="Q333" i="21"/>
  <c r="J334" i="21"/>
  <c r="I334" i="21"/>
  <c r="C334" i="21"/>
  <c r="F334" i="21"/>
  <c r="L119" i="21" l="1"/>
  <c r="S120" i="21"/>
  <c r="U119" i="21"/>
  <c r="M119" i="21"/>
  <c r="Q119" i="21"/>
  <c r="I120" i="21"/>
  <c r="T333" i="21"/>
  <c r="M333" i="21"/>
  <c r="U333" i="21"/>
  <c r="L333" i="21"/>
  <c r="C335" i="21"/>
  <c r="P334" i="21"/>
  <c r="V334" i="21"/>
  <c r="F335" i="21"/>
  <c r="E335" i="21"/>
  <c r="S334" i="21"/>
  <c r="I335" i="21"/>
  <c r="B335" i="21"/>
  <c r="Q334" i="21"/>
  <c r="J335" i="21"/>
  <c r="G335" i="21"/>
  <c r="O334" i="21"/>
  <c r="K335" i="21"/>
  <c r="K120" i="21" l="1"/>
  <c r="G336" i="21"/>
  <c r="E336" i="21"/>
  <c r="K336" i="21"/>
  <c r="B336" i="21"/>
  <c r="P335" i="21"/>
  <c r="Q335" i="21"/>
  <c r="F336" i="21"/>
  <c r="S335" i="21"/>
  <c r="J336" i="21"/>
  <c r="V335" i="21"/>
  <c r="O335" i="21"/>
  <c r="C336" i="21"/>
  <c r="I336" i="21"/>
  <c r="U334" i="21"/>
  <c r="T334" i="21"/>
  <c r="L334" i="21"/>
  <c r="M334" i="21"/>
  <c r="J120" i="21" l="1"/>
  <c r="V120" i="21"/>
  <c r="L335" i="21"/>
  <c r="U335" i="21"/>
  <c r="M335" i="21"/>
  <c r="T335" i="21"/>
  <c r="P336" i="21"/>
  <c r="E337" i="21"/>
  <c r="K337" i="21"/>
  <c r="Q336" i="21"/>
  <c r="C337" i="21"/>
  <c r="B337" i="21"/>
  <c r="S336" i="21"/>
  <c r="O336" i="21"/>
  <c r="V336" i="21"/>
  <c r="J337" i="21"/>
  <c r="F337" i="21"/>
  <c r="G337" i="21"/>
  <c r="I337" i="21"/>
  <c r="I121" i="21" l="1"/>
  <c r="M120" i="21"/>
  <c r="L120" i="21"/>
  <c r="T120" i="21"/>
  <c r="T336" i="21"/>
  <c r="L336" i="21"/>
  <c r="M336" i="21"/>
  <c r="U336" i="21"/>
  <c r="J338" i="21"/>
  <c r="O337" i="21"/>
  <c r="V337" i="21"/>
  <c r="Q337" i="21"/>
  <c r="B338" i="21"/>
  <c r="G338" i="21"/>
  <c r="I338" i="21"/>
  <c r="P337" i="21"/>
  <c r="S337" i="21"/>
  <c r="K338" i="21"/>
  <c r="E338" i="21"/>
  <c r="C338" i="21"/>
  <c r="F338" i="21"/>
  <c r="S121" i="21" l="1"/>
  <c r="U120" i="21"/>
  <c r="K121" i="21"/>
  <c r="Q120" i="21"/>
  <c r="L337" i="21"/>
  <c r="T337" i="21"/>
  <c r="M337" i="21"/>
  <c r="U337" i="21"/>
  <c r="J339" i="21"/>
  <c r="G339" i="21"/>
  <c r="Q338" i="21"/>
  <c r="O338" i="21"/>
  <c r="F339" i="21"/>
  <c r="S338" i="21"/>
  <c r="P338" i="21"/>
  <c r="I339" i="21"/>
  <c r="V338" i="21"/>
  <c r="K339" i="21"/>
  <c r="B339" i="21"/>
  <c r="E339" i="21"/>
  <c r="C339" i="21"/>
  <c r="J121" i="21" l="1"/>
  <c r="M121" i="21" s="1"/>
  <c r="V121" i="21"/>
  <c r="L338" i="21"/>
  <c r="T338" i="21"/>
  <c r="M338" i="21"/>
  <c r="U338" i="21"/>
  <c r="G340" i="21"/>
  <c r="B340" i="21"/>
  <c r="S339" i="21"/>
  <c r="Q339" i="21"/>
  <c r="J340" i="21"/>
  <c r="F340" i="21"/>
  <c r="I340" i="21"/>
  <c r="C340" i="21"/>
  <c r="P339" i="21"/>
  <c r="K340" i="21"/>
  <c r="O339" i="21"/>
  <c r="E340" i="21"/>
  <c r="V339" i="21"/>
  <c r="L121" i="21" l="1"/>
  <c r="T121" i="21"/>
  <c r="Q121" i="21" s="1"/>
  <c r="I122" i="21"/>
  <c r="U339" i="21"/>
  <c r="M339" i="21"/>
  <c r="T339" i="21"/>
  <c r="L339" i="21"/>
  <c r="P340" i="21"/>
  <c r="B341" i="21"/>
  <c r="V340" i="21"/>
  <c r="O340" i="21"/>
  <c r="F341" i="21"/>
  <c r="Q340" i="21"/>
  <c r="C341" i="21"/>
  <c r="K341" i="21"/>
  <c r="G341" i="21"/>
  <c r="J341" i="21"/>
  <c r="I341" i="21"/>
  <c r="E341" i="21"/>
  <c r="S340" i="21"/>
  <c r="K122" i="21" l="1"/>
  <c r="S122" i="21"/>
  <c r="U121" i="21"/>
  <c r="G342" i="21"/>
  <c r="F342" i="21"/>
  <c r="O341" i="21"/>
  <c r="B342" i="21"/>
  <c r="E342" i="21"/>
  <c r="Q341" i="21"/>
  <c r="J342" i="21"/>
  <c r="K342" i="21"/>
  <c r="S341" i="21"/>
  <c r="P341" i="21"/>
  <c r="V341" i="21"/>
  <c r="C342" i="21"/>
  <c r="I342" i="21"/>
  <c r="T340" i="21"/>
  <c r="M340" i="21"/>
  <c r="U340" i="21"/>
  <c r="L340" i="21"/>
  <c r="J122" i="21" l="1"/>
  <c r="V122" i="21"/>
  <c r="F343" i="21"/>
  <c r="C343" i="21"/>
  <c r="K343" i="21"/>
  <c r="I343" i="21"/>
  <c r="G343" i="21"/>
  <c r="E343" i="21"/>
  <c r="Q342" i="21"/>
  <c r="O342" i="21"/>
  <c r="P342" i="21"/>
  <c r="J343" i="21"/>
  <c r="S342" i="21"/>
  <c r="B343" i="21"/>
  <c r="V342" i="21"/>
  <c r="M341" i="21"/>
  <c r="T341" i="21"/>
  <c r="L341" i="21"/>
  <c r="U341" i="21"/>
  <c r="I123" i="21" l="1"/>
  <c r="M122" i="21"/>
  <c r="T122" i="21"/>
  <c r="L122" i="21"/>
  <c r="P343" i="21"/>
  <c r="E344" i="21"/>
  <c r="S343" i="21"/>
  <c r="O343" i="21"/>
  <c r="F344" i="21"/>
  <c r="Q343" i="21"/>
  <c r="K344" i="21"/>
  <c r="J344" i="21"/>
  <c r="I344" i="21"/>
  <c r="B344" i="21"/>
  <c r="C344" i="21"/>
  <c r="G344" i="21"/>
  <c r="V343" i="21"/>
  <c r="T342" i="21"/>
  <c r="U342" i="21"/>
  <c r="L342" i="21"/>
  <c r="M342" i="21"/>
  <c r="S123" i="21" l="1"/>
  <c r="U122" i="21"/>
  <c r="K123" i="21"/>
  <c r="Q122" i="21"/>
  <c r="U343" i="21"/>
  <c r="L343" i="21"/>
  <c r="T343" i="21"/>
  <c r="M343" i="21"/>
  <c r="J345" i="21"/>
  <c r="E345" i="21"/>
  <c r="V344" i="21"/>
  <c r="K345" i="21"/>
  <c r="C345" i="21"/>
  <c r="B345" i="21"/>
  <c r="I345" i="21"/>
  <c r="O344" i="21"/>
  <c r="S344" i="21"/>
  <c r="P344" i="21"/>
  <c r="G345" i="21"/>
  <c r="F345" i="21"/>
  <c r="Q344" i="21"/>
  <c r="J123" i="21" l="1"/>
  <c r="T123" i="21" s="1"/>
  <c r="V123" i="21"/>
  <c r="F346" i="21"/>
  <c r="E346" i="21"/>
  <c r="K346" i="21"/>
  <c r="J346" i="21"/>
  <c r="G346" i="21"/>
  <c r="V345" i="21"/>
  <c r="S345" i="21"/>
  <c r="P345" i="21"/>
  <c r="Q345" i="21"/>
  <c r="C346" i="21"/>
  <c r="B346" i="21"/>
  <c r="O345" i="21"/>
  <c r="I346" i="21"/>
  <c r="U344" i="21"/>
  <c r="T344" i="21"/>
  <c r="L344" i="21"/>
  <c r="M344" i="21"/>
  <c r="L123" i="21" l="1"/>
  <c r="U123" i="21"/>
  <c r="S124" i="21"/>
  <c r="M123" i="21"/>
  <c r="Q123" i="21"/>
  <c r="I124" i="21"/>
  <c r="F347" i="21"/>
  <c r="B347" i="21"/>
  <c r="S346" i="21"/>
  <c r="J347" i="21"/>
  <c r="G347" i="21"/>
  <c r="I347" i="21"/>
  <c r="V346" i="21"/>
  <c r="E347" i="21"/>
  <c r="Q346" i="21"/>
  <c r="K347" i="21"/>
  <c r="P346" i="21"/>
  <c r="C347" i="21"/>
  <c r="O346" i="21"/>
  <c r="M345" i="21"/>
  <c r="L345" i="21"/>
  <c r="U345" i="21"/>
  <c r="T345" i="21"/>
  <c r="K124" i="21" l="1"/>
  <c r="M346" i="21"/>
  <c r="T346" i="21"/>
  <c r="U346" i="21"/>
  <c r="L346" i="21"/>
  <c r="O347" i="21"/>
  <c r="J348" i="21"/>
  <c r="C348" i="21"/>
  <c r="F348" i="21"/>
  <c r="Q347" i="21"/>
  <c r="I348" i="21"/>
  <c r="B348" i="21"/>
  <c r="K348" i="21"/>
  <c r="V347" i="21"/>
  <c r="P347" i="21"/>
  <c r="S347" i="21"/>
  <c r="G348" i="21"/>
  <c r="E348" i="21"/>
  <c r="J124" i="21" l="1"/>
  <c r="V124" i="21"/>
  <c r="L347" i="21"/>
  <c r="U347" i="21"/>
  <c r="M347" i="21"/>
  <c r="T347" i="21"/>
  <c r="O348" i="21"/>
  <c r="F349" i="21"/>
  <c r="V348" i="21"/>
  <c r="E349" i="21"/>
  <c r="B349" i="21"/>
  <c r="J349" i="21"/>
  <c r="S348" i="21"/>
  <c r="I349" i="21"/>
  <c r="P348" i="21"/>
  <c r="C349" i="21"/>
  <c r="G349" i="21"/>
  <c r="K349" i="21"/>
  <c r="Q348" i="21"/>
  <c r="I125" i="21" l="1"/>
  <c r="T124" i="21"/>
  <c r="L124" i="21"/>
  <c r="M124" i="21"/>
  <c r="L348" i="21"/>
  <c r="U348" i="21"/>
  <c r="T348" i="21"/>
  <c r="M348" i="21"/>
  <c r="F350" i="21"/>
  <c r="J350" i="21"/>
  <c r="K350" i="21"/>
  <c r="Q349" i="21"/>
  <c r="E350" i="21"/>
  <c r="I350" i="21"/>
  <c r="B350" i="21"/>
  <c r="C350" i="21"/>
  <c r="G350" i="21"/>
  <c r="S349" i="21"/>
  <c r="P349" i="21"/>
  <c r="O349" i="21"/>
  <c r="V349" i="21"/>
  <c r="U124" i="21" l="1"/>
  <c r="S125" i="21"/>
  <c r="K125" i="21"/>
  <c r="Q124" i="21"/>
  <c r="J351" i="21"/>
  <c r="E351" i="21"/>
  <c r="K351" i="21"/>
  <c r="I351" i="21"/>
  <c r="C351" i="21"/>
  <c r="O350" i="21"/>
  <c r="Q350" i="21"/>
  <c r="F351" i="21"/>
  <c r="P350" i="21"/>
  <c r="G351" i="21"/>
  <c r="V350" i="21"/>
  <c r="S350" i="21"/>
  <c r="B351" i="21"/>
  <c r="U349" i="21"/>
  <c r="M349" i="21"/>
  <c r="T349" i="21"/>
  <c r="L349" i="21"/>
  <c r="J125" i="21" l="1"/>
  <c r="T125" i="21" s="1"/>
  <c r="V125" i="21"/>
  <c r="L350" i="21"/>
  <c r="M350" i="21"/>
  <c r="U350" i="21"/>
  <c r="T350" i="21"/>
  <c r="E352" i="21"/>
  <c r="P351" i="21"/>
  <c r="Q351" i="21"/>
  <c r="G352" i="21"/>
  <c r="J352" i="21"/>
  <c r="C352" i="21"/>
  <c r="S351" i="21"/>
  <c r="K352" i="21"/>
  <c r="F352" i="21"/>
  <c r="B352" i="21"/>
  <c r="V351" i="21"/>
  <c r="O351" i="21"/>
  <c r="I352" i="21"/>
  <c r="L125" i="21" l="1"/>
  <c r="M125" i="21"/>
  <c r="S126" i="21"/>
  <c r="U125" i="21"/>
  <c r="Q125" i="21"/>
  <c r="I126" i="21"/>
  <c r="L351" i="21"/>
  <c r="U351" i="21"/>
  <c r="M351" i="21"/>
  <c r="T351" i="21"/>
  <c r="B353" i="21"/>
  <c r="G353" i="21"/>
  <c r="K353" i="21"/>
  <c r="Q352" i="21"/>
  <c r="J353" i="21"/>
  <c r="C353" i="21"/>
  <c r="E353" i="21"/>
  <c r="V352" i="21"/>
  <c r="O352" i="21"/>
  <c r="P352" i="21"/>
  <c r="F353" i="21"/>
  <c r="I353" i="21"/>
  <c r="S352" i="21"/>
  <c r="K126" i="21" l="1"/>
  <c r="U352" i="21"/>
  <c r="M352" i="21"/>
  <c r="T352" i="21"/>
  <c r="L352" i="21"/>
  <c r="E354" i="21"/>
  <c r="G354" i="21"/>
  <c r="K354" i="21"/>
  <c r="O353" i="21"/>
  <c r="F354" i="21"/>
  <c r="J354" i="21"/>
  <c r="V353" i="21"/>
  <c r="S353" i="21"/>
  <c r="I354" i="21"/>
  <c r="B354" i="21"/>
  <c r="C354" i="21"/>
  <c r="Q353" i="21"/>
  <c r="P353" i="21"/>
  <c r="J126" i="21" l="1"/>
  <c r="V126" i="21"/>
  <c r="M353" i="21"/>
  <c r="L353" i="21"/>
  <c r="T353" i="21"/>
  <c r="U353" i="21"/>
  <c r="J355" i="21"/>
  <c r="P354" i="21"/>
  <c r="Q354" i="21"/>
  <c r="E355" i="21"/>
  <c r="F355" i="21"/>
  <c r="B355" i="21"/>
  <c r="S354" i="21"/>
  <c r="C355" i="21"/>
  <c r="O354" i="21"/>
  <c r="G355" i="21"/>
  <c r="V354" i="21"/>
  <c r="I355" i="21"/>
  <c r="K355" i="21"/>
  <c r="I127" i="21" l="1"/>
  <c r="T126" i="21"/>
  <c r="M126" i="21"/>
  <c r="L126" i="21"/>
  <c r="G356" i="21"/>
  <c r="J356" i="21"/>
  <c r="S355" i="21"/>
  <c r="Q355" i="21"/>
  <c r="I356" i="21"/>
  <c r="O355" i="21"/>
  <c r="P355" i="21"/>
  <c r="B356" i="21"/>
  <c r="F356" i="21"/>
  <c r="K356" i="21"/>
  <c r="C356" i="21"/>
  <c r="E356" i="21"/>
  <c r="V355" i="21"/>
  <c r="U354" i="21"/>
  <c r="T354" i="21"/>
  <c r="L354" i="21"/>
  <c r="M354" i="21"/>
  <c r="U126" i="21" l="1"/>
  <c r="S127" i="21"/>
  <c r="K127" i="21"/>
  <c r="Q126" i="21"/>
  <c r="L355" i="21"/>
  <c r="U355" i="21"/>
  <c r="M355" i="21"/>
  <c r="T355" i="21"/>
  <c r="G357" i="21"/>
  <c r="O356" i="21"/>
  <c r="I357" i="21"/>
  <c r="K357" i="21"/>
  <c r="P356" i="21"/>
  <c r="C357" i="21"/>
  <c r="Q356" i="21"/>
  <c r="E357" i="21"/>
  <c r="J357" i="21"/>
  <c r="B357" i="21"/>
  <c r="V356" i="21"/>
  <c r="S356" i="21"/>
  <c r="F357" i="21"/>
  <c r="J127" i="21" l="1"/>
  <c r="L127" i="21" s="1"/>
  <c r="V127" i="21"/>
  <c r="U356" i="21"/>
  <c r="L356" i="21"/>
  <c r="T356" i="21"/>
  <c r="M356" i="21"/>
  <c r="J358" i="21"/>
  <c r="O357" i="21"/>
  <c r="Q357" i="21"/>
  <c r="V357" i="21"/>
  <c r="B358" i="21"/>
  <c r="E358" i="21"/>
  <c r="C358" i="21"/>
  <c r="I358" i="21"/>
  <c r="P357" i="21"/>
  <c r="G358" i="21"/>
  <c r="F358" i="21"/>
  <c r="K358" i="21"/>
  <c r="S357" i="21"/>
  <c r="M127" i="21" l="1"/>
  <c r="T127" i="21"/>
  <c r="Q127" i="21" s="1"/>
  <c r="I128" i="21"/>
  <c r="T357" i="21"/>
  <c r="M357" i="21"/>
  <c r="U357" i="21"/>
  <c r="L357" i="21"/>
  <c r="O358" i="21"/>
  <c r="F359" i="21"/>
  <c r="V358" i="21"/>
  <c r="C359" i="21"/>
  <c r="Q358" i="21"/>
  <c r="J359" i="21"/>
  <c r="G359" i="21"/>
  <c r="S358" i="21"/>
  <c r="E359" i="21"/>
  <c r="B359" i="21"/>
  <c r="P358" i="21"/>
  <c r="K359" i="21"/>
  <c r="I359" i="21"/>
  <c r="K128" i="21" l="1"/>
  <c r="U127" i="21"/>
  <c r="S128" i="21"/>
  <c r="M358" i="21"/>
  <c r="U358" i="21"/>
  <c r="T358" i="21"/>
  <c r="L358" i="21"/>
  <c r="F360" i="21"/>
  <c r="C360" i="21"/>
  <c r="P359" i="21"/>
  <c r="I360" i="21"/>
  <c r="G360" i="21"/>
  <c r="E360" i="21"/>
  <c r="V359" i="21"/>
  <c r="J360" i="21"/>
  <c r="Q359" i="21"/>
  <c r="B360" i="21"/>
  <c r="K360" i="21"/>
  <c r="S359" i="21"/>
  <c r="O359" i="21"/>
  <c r="J128" i="21" l="1"/>
  <c r="V128" i="21"/>
  <c r="T359" i="21"/>
  <c r="U359" i="21"/>
  <c r="M359" i="21"/>
  <c r="L359" i="21"/>
  <c r="J361" i="21"/>
  <c r="O360" i="21"/>
  <c r="I361" i="21"/>
  <c r="S360" i="21"/>
  <c r="G361" i="21"/>
  <c r="V360" i="21"/>
  <c r="F361" i="21"/>
  <c r="P360" i="21"/>
  <c r="K361" i="21"/>
  <c r="E361" i="21"/>
  <c r="Q360" i="21"/>
  <c r="C361" i="21"/>
  <c r="B361" i="21"/>
  <c r="I129" i="21" l="1"/>
  <c r="K129" i="21" s="1"/>
  <c r="L128" i="21"/>
  <c r="M128" i="21"/>
  <c r="T128" i="21"/>
  <c r="M360" i="21"/>
  <c r="L360" i="21"/>
  <c r="U360" i="21"/>
  <c r="T360" i="21"/>
  <c r="J362" i="21"/>
  <c r="C362" i="21"/>
  <c r="S361" i="21"/>
  <c r="K362" i="21"/>
  <c r="E362" i="21"/>
  <c r="P361" i="21"/>
  <c r="F362" i="21"/>
  <c r="I362" i="21"/>
  <c r="V361" i="21"/>
  <c r="O361" i="21"/>
  <c r="B362" i="21"/>
  <c r="G362" i="21"/>
  <c r="Q361" i="21"/>
  <c r="U128" i="21" l="1"/>
  <c r="S129" i="21"/>
  <c r="J129" i="21"/>
  <c r="V129" i="21"/>
  <c r="Q128" i="21"/>
  <c r="C363" i="21"/>
  <c r="G363" i="21"/>
  <c r="S362" i="21"/>
  <c r="Q362" i="21"/>
  <c r="E363" i="21"/>
  <c r="K363" i="21"/>
  <c r="P362" i="21"/>
  <c r="B363" i="21"/>
  <c r="V362" i="21"/>
  <c r="J363" i="21"/>
  <c r="F363" i="21"/>
  <c r="I363" i="21"/>
  <c r="O362" i="21"/>
  <c r="T361" i="21"/>
  <c r="L361" i="21"/>
  <c r="M361" i="21"/>
  <c r="U361" i="21"/>
  <c r="L129" i="21" l="1"/>
  <c r="T129" i="21"/>
  <c r="Q129" i="21" s="1"/>
  <c r="M129" i="21"/>
  <c r="O363" i="21"/>
  <c r="B364" i="21"/>
  <c r="K364" i="21"/>
  <c r="Q363" i="21"/>
  <c r="I364" i="21"/>
  <c r="C364" i="21"/>
  <c r="G364" i="21"/>
  <c r="S363" i="21"/>
  <c r="E364" i="21"/>
  <c r="F364" i="21"/>
  <c r="V363" i="21"/>
  <c r="P363" i="21"/>
  <c r="J364" i="21"/>
  <c r="T362" i="21"/>
  <c r="L362" i="21"/>
  <c r="M362" i="21"/>
  <c r="U362" i="21"/>
  <c r="U129" i="21" l="1"/>
  <c r="M363" i="21"/>
  <c r="T363" i="21"/>
  <c r="L363" i="21"/>
  <c r="U363" i="21"/>
  <c r="J365" i="21"/>
  <c r="P364" i="21"/>
  <c r="I365" i="21"/>
  <c r="V364" i="21"/>
  <c r="B365" i="21"/>
  <c r="O364" i="21"/>
  <c r="G365" i="21"/>
  <c r="C365" i="21"/>
  <c r="S364" i="21"/>
  <c r="E365" i="21"/>
  <c r="K365" i="21"/>
  <c r="F365" i="21"/>
  <c r="Q364" i="21"/>
  <c r="T364" i="21" l="1"/>
  <c r="U364" i="21"/>
  <c r="M364" i="21"/>
  <c r="L364" i="21"/>
  <c r="J366" i="21"/>
  <c r="P365" i="21"/>
  <c r="V365" i="21"/>
  <c r="O365" i="21"/>
  <c r="E366" i="21"/>
  <c r="F366" i="21"/>
  <c r="C366" i="21"/>
  <c r="Q365" i="21"/>
  <c r="G366" i="21"/>
  <c r="S365" i="21"/>
  <c r="B366" i="21"/>
  <c r="K366" i="21"/>
  <c r="I366" i="21"/>
  <c r="C367" i="21" l="1"/>
  <c r="J367" i="21"/>
  <c r="Q366" i="21"/>
  <c r="I367" i="21"/>
  <c r="P366" i="21"/>
  <c r="K367" i="21"/>
  <c r="S366" i="21"/>
  <c r="O366" i="21"/>
  <c r="F367" i="21"/>
  <c r="V366" i="21"/>
  <c r="B367" i="21"/>
  <c r="E367" i="21"/>
  <c r="G367" i="21"/>
  <c r="L365" i="21"/>
  <c r="M365" i="21"/>
  <c r="U365" i="21"/>
  <c r="T365" i="21"/>
  <c r="F368" i="21" l="1"/>
  <c r="P367" i="21"/>
  <c r="C368" i="21"/>
  <c r="B368" i="21"/>
  <c r="S367" i="21"/>
  <c r="E368" i="21"/>
  <c r="G368" i="21"/>
  <c r="V367" i="21"/>
  <c r="K368" i="21"/>
  <c r="I368" i="21"/>
  <c r="Q367" i="21"/>
  <c r="J368" i="21"/>
  <c r="O367" i="21"/>
  <c r="M366" i="21"/>
  <c r="T366" i="21"/>
  <c r="U366" i="21"/>
  <c r="L366" i="21"/>
  <c r="O368" i="21" l="1"/>
  <c r="J369" i="21"/>
  <c r="S368" i="21"/>
  <c r="I369" i="21"/>
  <c r="C369" i="21"/>
  <c r="K369" i="21"/>
  <c r="E369" i="21"/>
  <c r="B369" i="21"/>
  <c r="V368" i="21"/>
  <c r="F369" i="21"/>
  <c r="G369" i="21"/>
  <c r="P368" i="21"/>
  <c r="Q368" i="21"/>
  <c r="U367" i="21"/>
  <c r="M367" i="21"/>
  <c r="T367" i="21"/>
  <c r="L367" i="21"/>
  <c r="S369" i="21" l="1"/>
  <c r="P369" i="21"/>
  <c r="O369" i="21"/>
  <c r="Q369" i="21"/>
  <c r="V369" i="21"/>
  <c r="U368" i="21"/>
  <c r="L368" i="21"/>
  <c r="T368" i="21"/>
  <c r="M368" i="21"/>
  <c r="T369" i="21" l="1"/>
  <c r="M369" i="21"/>
  <c r="L369" i="21"/>
  <c r="U369" i="21"/>
  <c r="A100" i="22" l="1"/>
  <c r="B120" i="6" s="1"/>
  <c r="A33" i="22"/>
  <c r="E41" i="6" l="1"/>
  <c r="E226" i="6"/>
  <c r="E228" i="6"/>
  <c r="C210" i="6"/>
  <c r="E57" i="6"/>
  <c r="E39" i="6"/>
  <c r="E82" i="6"/>
  <c r="E130" i="6"/>
  <c r="E145" i="6"/>
  <c r="E47" i="6"/>
  <c r="E220" i="6"/>
  <c r="E116" i="6"/>
  <c r="E78" i="6"/>
  <c r="E45" i="6"/>
  <c r="E206" i="6"/>
  <c r="E97" i="6"/>
  <c r="E149" i="6"/>
  <c r="E107" i="6"/>
  <c r="E157" i="6"/>
  <c r="E103" i="6"/>
  <c r="C220" i="6"/>
  <c r="E208" i="6"/>
  <c r="C224" i="6"/>
  <c r="E128" i="6"/>
  <c r="C222" i="6"/>
  <c r="E120" i="6"/>
  <c r="E216" i="6"/>
  <c r="E126" i="6"/>
  <c r="E151" i="6"/>
  <c r="E95" i="6"/>
  <c r="C206" i="6"/>
  <c r="C214" i="6"/>
  <c r="E101" i="6"/>
  <c r="C208" i="6"/>
  <c r="E53" i="6"/>
  <c r="E113" i="6"/>
  <c r="E93" i="6"/>
  <c r="E155" i="6"/>
  <c r="E224" i="6"/>
  <c r="E109" i="6"/>
  <c r="E80" i="6"/>
  <c r="E51" i="6"/>
  <c r="C218" i="6"/>
  <c r="E214" i="6"/>
  <c r="E89" i="6"/>
  <c r="C216" i="6"/>
  <c r="E218" i="6"/>
  <c r="E210" i="6"/>
  <c r="E122" i="6"/>
  <c r="E147" i="6"/>
  <c r="E105" i="6"/>
  <c r="E59" i="6"/>
  <c r="E91" i="6"/>
  <c r="F111" i="6" s="1"/>
  <c r="D14" i="2" s="1"/>
  <c r="E49" i="6"/>
  <c r="E55" i="6"/>
  <c r="C228" i="6"/>
  <c r="E141" i="6"/>
  <c r="E212" i="6"/>
  <c r="C226" i="6"/>
  <c r="E153" i="6"/>
  <c r="E222" i="6"/>
  <c r="C212" i="6"/>
  <c r="E43" i="6"/>
  <c r="E137" i="6"/>
  <c r="E87" i="6"/>
  <c r="E99" i="6"/>
  <c r="E118" i="6"/>
  <c r="E61" i="6"/>
  <c r="A35" i="22"/>
  <c r="E164" i="6" l="1"/>
  <c r="C164" i="6"/>
  <c r="D15" i="2"/>
  <c r="E15" i="2" s="1"/>
  <c r="C20" i="2"/>
  <c r="C5" i="5" s="1"/>
  <c r="E14" i="2"/>
  <c r="C28" i="3"/>
  <c r="C42" i="3" s="1"/>
  <c r="A36" i="22"/>
  <c r="E32" i="6" l="1"/>
  <c r="E11" i="6"/>
  <c r="D17" i="2"/>
  <c r="E17" i="2"/>
  <c r="H13" i="2" s="1"/>
  <c r="H14" i="2" s="1"/>
  <c r="H17" i="2" s="1"/>
  <c r="C6" i="5"/>
  <c r="C19" i="5" s="1"/>
  <c r="O19" i="5" s="1"/>
  <c r="J7" i="5" s="1"/>
  <c r="H22" i="2" s="1"/>
  <c r="I9" i="21"/>
  <c r="C9" i="5"/>
  <c r="J3" i="5"/>
  <c r="S9" i="21"/>
  <c r="S10" i="21" s="1"/>
  <c r="C15" i="5"/>
  <c r="G29" i="3"/>
  <c r="P29" i="3" s="1"/>
  <c r="P28" i="3"/>
  <c r="P37" i="3"/>
  <c r="C37" i="4" s="1"/>
  <c r="E66" i="6"/>
  <c r="E64" i="6"/>
  <c r="E34" i="6"/>
  <c r="E111" i="6"/>
  <c r="E68" i="6"/>
  <c r="C8" i="3" l="1"/>
  <c r="P8" i="3" s="1"/>
  <c r="C17" i="5"/>
  <c r="C18" i="5" s="1"/>
  <c r="H25" i="2"/>
  <c r="L9" i="21"/>
  <c r="M9" i="21" s="1"/>
  <c r="I10" i="21"/>
  <c r="G8" i="4"/>
  <c r="K23" i="3"/>
  <c r="O23" i="3"/>
  <c r="N23" i="3"/>
  <c r="E23" i="3"/>
  <c r="C8" i="6"/>
  <c r="B34" i="3"/>
  <c r="Q1" i="19"/>
  <c r="H23" i="3"/>
  <c r="M23" i="3"/>
  <c r="B44" i="4"/>
  <c r="B23" i="3"/>
  <c r="J23" i="3"/>
  <c r="F23" i="3"/>
  <c r="G23" i="3"/>
  <c r="I23" i="3"/>
  <c r="D23" i="3"/>
  <c r="L23" i="3"/>
  <c r="C15" i="3" l="1"/>
  <c r="C44" i="3" s="1"/>
  <c r="C46" i="3" s="1"/>
  <c r="D5" i="3" s="1"/>
  <c r="K10" i="21"/>
  <c r="D15" i="5"/>
  <c r="D33" i="3"/>
  <c r="D32" i="3"/>
  <c r="C20" i="5"/>
  <c r="Q3" i="19"/>
  <c r="B39" i="4"/>
  <c r="B3" i="19"/>
  <c r="F14" i="6"/>
  <c r="F63" i="6" s="1"/>
  <c r="B38" i="3"/>
  <c r="P23" i="3"/>
  <c r="J1" i="19"/>
  <c r="J3" i="19" s="1"/>
  <c r="C3" i="19"/>
  <c r="A22" i="19" s="1"/>
  <c r="D14" i="6"/>
  <c r="B34" i="4"/>
  <c r="B35" i="3"/>
  <c r="C17" i="6" l="1"/>
  <c r="C21" i="6"/>
  <c r="P15" i="3"/>
  <c r="D17" i="5"/>
  <c r="D18" i="5" s="1"/>
  <c r="E15" i="5" s="1"/>
  <c r="V10" i="21"/>
  <c r="J10" i="21"/>
  <c r="L10" i="21" s="1"/>
  <c r="C76" i="6"/>
  <c r="C74" i="6"/>
  <c r="C27" i="6"/>
  <c r="C29" i="6"/>
  <c r="C15" i="6"/>
  <c r="C23" i="6"/>
  <c r="C19" i="6"/>
  <c r="C18" i="4"/>
  <c r="C25" i="4" s="1"/>
  <c r="C25" i="6"/>
  <c r="C80" i="6"/>
  <c r="C55" i="6"/>
  <c r="C34" i="6"/>
  <c r="C68" i="6"/>
  <c r="C45" i="6"/>
  <c r="C53" i="6"/>
  <c r="C57" i="6"/>
  <c r="C64" i="6"/>
  <c r="C72" i="6"/>
  <c r="C47" i="6"/>
  <c r="C49" i="6"/>
  <c r="D38" i="6"/>
  <c r="C43" i="6"/>
  <c r="D31" i="6"/>
  <c r="C61" i="6"/>
  <c r="C39" i="6"/>
  <c r="D63" i="6"/>
  <c r="C41" i="6"/>
  <c r="C51" i="6"/>
  <c r="C66" i="6"/>
  <c r="D231" i="6"/>
  <c r="C11" i="6"/>
  <c r="D71" i="6"/>
  <c r="C59" i="6"/>
  <c r="C82" i="6"/>
  <c r="C32" i="6"/>
  <c r="C78" i="6"/>
  <c r="F38" i="6"/>
  <c r="F31" i="6"/>
  <c r="F71" i="6"/>
  <c r="F231" i="6"/>
  <c r="A17" i="19"/>
  <c r="E17" i="5" l="1"/>
  <c r="E18" i="5" s="1"/>
  <c r="M10" i="21"/>
  <c r="E33" i="3"/>
  <c r="T10" i="21"/>
  <c r="I11" i="21"/>
  <c r="E32" i="3"/>
  <c r="D20" i="5"/>
  <c r="M30" i="19"/>
  <c r="M32" i="19"/>
  <c r="M31" i="19"/>
  <c r="M28" i="19"/>
  <c r="M29" i="19"/>
  <c r="T32" i="19"/>
  <c r="T29" i="19"/>
  <c r="T30" i="19"/>
  <c r="T31" i="19"/>
  <c r="T28" i="19"/>
  <c r="Q10" i="21" l="1"/>
  <c r="S11" i="21"/>
  <c r="U10" i="21"/>
  <c r="K11" i="21"/>
  <c r="F15" i="5"/>
  <c r="F33" i="3"/>
  <c r="F32" i="3"/>
  <c r="E20" i="5"/>
  <c r="I25" i="19"/>
  <c r="P25" i="19"/>
  <c r="F17" i="5" l="1"/>
  <c r="F18" i="5" s="1"/>
  <c r="G15" i="5" s="1"/>
  <c r="G17" i="5" s="1"/>
  <c r="V11" i="21"/>
  <c r="J11" i="21"/>
  <c r="T11" i="21" s="1"/>
  <c r="S12" i="21" l="1"/>
  <c r="U11" i="21"/>
  <c r="G18" i="5"/>
  <c r="G20" i="5" s="1"/>
  <c r="H32" i="3"/>
  <c r="Q11" i="21"/>
  <c r="I12" i="21"/>
  <c r="K12" i="21" s="1"/>
  <c r="G33" i="3"/>
  <c r="L11" i="21"/>
  <c r="G32" i="3"/>
  <c r="F20" i="5"/>
  <c r="M11" i="21"/>
  <c r="V12" i="21" l="1"/>
  <c r="J12" i="21"/>
  <c r="L12" i="21" s="1"/>
  <c r="H15" i="5"/>
  <c r="H33" i="3"/>
  <c r="M12" i="21" l="1"/>
  <c r="T12" i="21"/>
  <c r="Q12" i="21" s="1"/>
  <c r="H17" i="5"/>
  <c r="I13" i="21"/>
  <c r="C24" i="19"/>
  <c r="C19" i="19"/>
  <c r="D20" i="19" s="1"/>
  <c r="K13" i="21" l="1"/>
  <c r="H18" i="5"/>
  <c r="H20" i="5" s="1"/>
  <c r="I32" i="3"/>
  <c r="S13" i="21"/>
  <c r="U12" i="21"/>
  <c r="I33" i="3" l="1"/>
  <c r="I15" i="5"/>
  <c r="V13" i="21"/>
  <c r="J13" i="21"/>
  <c r="D26" i="19"/>
  <c r="I17" i="5" l="1"/>
  <c r="I14" i="21"/>
  <c r="T13" i="21"/>
  <c r="L13" i="21"/>
  <c r="M13" i="21"/>
  <c r="E26" i="19"/>
  <c r="D21" i="19"/>
  <c r="E21" i="19"/>
  <c r="K14" i="21" l="1"/>
  <c r="U13" i="21"/>
  <c r="S14" i="21"/>
  <c r="Q13" i="21"/>
  <c r="I18" i="5"/>
  <c r="J32" i="3"/>
  <c r="V14" i="21" l="1"/>
  <c r="J14" i="21"/>
  <c r="J33" i="3"/>
  <c r="J15" i="5"/>
  <c r="I20" i="5"/>
  <c r="I15" i="21" l="1"/>
  <c r="L14" i="21"/>
  <c r="M14" i="21"/>
  <c r="J17" i="5"/>
  <c r="J18" i="5" s="1"/>
  <c r="K33" i="3" s="1"/>
  <c r="T14" i="21"/>
  <c r="U14" i="21" l="1"/>
  <c r="S15" i="21"/>
  <c r="K32" i="3"/>
  <c r="J20" i="5"/>
  <c r="K15" i="5"/>
  <c r="K15" i="21"/>
  <c r="Q14" i="21"/>
  <c r="V15" i="21" l="1"/>
  <c r="J15" i="21"/>
  <c r="I16" i="21" s="1"/>
  <c r="K17" i="5"/>
  <c r="T15" i="21" l="1"/>
  <c r="M15" i="21"/>
  <c r="L15" i="21"/>
  <c r="K18" i="5"/>
  <c r="K20" i="5" s="1"/>
  <c r="L32" i="3"/>
  <c r="K16" i="21"/>
  <c r="L33" i="3" l="1"/>
  <c r="L15" i="5"/>
  <c r="V16" i="21"/>
  <c r="J16" i="21"/>
  <c r="Q15" i="21"/>
  <c r="S16" i="21"/>
  <c r="U15" i="21"/>
  <c r="T16" i="21" l="1"/>
  <c r="Q16" i="21" s="1"/>
  <c r="M16" i="21"/>
  <c r="L16" i="21"/>
  <c r="I17" i="21"/>
  <c r="L17" i="5"/>
  <c r="U16" i="21" l="1"/>
  <c r="K17" i="21"/>
  <c r="S17" i="21"/>
  <c r="L18" i="5"/>
  <c r="M32" i="3"/>
  <c r="M33" i="3" l="1"/>
  <c r="M15" i="5"/>
  <c r="L20" i="5"/>
  <c r="V17" i="21"/>
  <c r="J17" i="21"/>
  <c r="L17" i="21" l="1"/>
  <c r="I18" i="21"/>
  <c r="T17" i="21"/>
  <c r="Q17" i="21" s="1"/>
  <c r="M17" i="21"/>
  <c r="M17" i="5"/>
  <c r="M18" i="5"/>
  <c r="N15" i="5" l="1"/>
  <c r="N33" i="3"/>
  <c r="N32" i="3"/>
  <c r="M20" i="5"/>
  <c r="K18" i="21"/>
  <c r="U17" i="21"/>
  <c r="S18" i="21"/>
  <c r="V18" i="21" l="1"/>
  <c r="J18" i="21"/>
  <c r="L18" i="21" s="1"/>
  <c r="N17" i="5"/>
  <c r="M18" i="21" l="1"/>
  <c r="T18" i="21"/>
  <c r="Q18" i="21" s="1"/>
  <c r="I19" i="21"/>
  <c r="N18" i="5"/>
  <c r="N20" i="5" s="1"/>
  <c r="O20" i="5" s="1"/>
  <c r="O32" i="3"/>
  <c r="O17" i="5"/>
  <c r="C27" i="4" s="1"/>
  <c r="C30" i="4" s="1"/>
  <c r="O33" i="3" l="1"/>
  <c r="P33" i="3" s="1"/>
  <c r="O18" i="5"/>
  <c r="G9" i="4" s="1"/>
  <c r="C24" i="5"/>
  <c r="K19" i="21"/>
  <c r="G2" i="19"/>
  <c r="P32" i="3"/>
  <c r="S19" i="21"/>
  <c r="U18" i="21"/>
  <c r="Q2" i="19" l="1"/>
  <c r="T23" i="19" s="1"/>
  <c r="J2" i="19"/>
  <c r="M19" i="19" s="1"/>
  <c r="V19" i="21"/>
  <c r="J19" i="21"/>
  <c r="M19" i="21" s="1"/>
  <c r="C26" i="5"/>
  <c r="I20" i="21" l="1"/>
  <c r="C27" i="5"/>
  <c r="C28" i="5" s="1"/>
  <c r="I6" i="19"/>
  <c r="L52" i="19"/>
  <c r="M59" i="19"/>
  <c r="I16" i="19"/>
  <c r="L51" i="19"/>
  <c r="L49" i="19"/>
  <c r="L53" i="19"/>
  <c r="L50" i="19"/>
  <c r="I11" i="19"/>
  <c r="L19" i="21"/>
  <c r="T19" i="21"/>
  <c r="T22" i="19"/>
  <c r="P11" i="19"/>
  <c r="S51" i="19"/>
  <c r="S53" i="19"/>
  <c r="S50" i="19"/>
  <c r="P6" i="19"/>
  <c r="S52" i="19"/>
  <c r="S49" i="19"/>
  <c r="T59" i="19"/>
  <c r="P16" i="19"/>
  <c r="I36" i="19" l="1"/>
  <c r="J4" i="19" s="1"/>
  <c r="P36" i="19"/>
  <c r="Q4" i="19" s="1"/>
  <c r="B4" i="19" s="1"/>
  <c r="I46" i="19"/>
  <c r="S20" i="21"/>
  <c r="U19" i="21"/>
  <c r="D24" i="5"/>
  <c r="K20" i="21"/>
  <c r="P46" i="19"/>
  <c r="Q19" i="21"/>
  <c r="P61" i="19" l="1"/>
  <c r="B7" i="19" s="1"/>
  <c r="C4" i="19"/>
  <c r="C25" i="19" s="1"/>
  <c r="C26" i="19" s="1"/>
  <c r="I61" i="19"/>
  <c r="C7" i="19" s="1"/>
  <c r="G5" i="19"/>
  <c r="C34" i="19" s="1"/>
  <c r="C35" i="19" s="1"/>
  <c r="V20" i="21"/>
  <c r="J20" i="21"/>
  <c r="B20" i="19"/>
  <c r="B21" i="19" s="1"/>
  <c r="T58" i="19"/>
  <c r="P55" i="19" s="1"/>
  <c r="B8" i="19" s="1"/>
  <c r="S43" i="19"/>
  <c r="S44" i="19"/>
  <c r="C20" i="19"/>
  <c r="C21" i="19" s="1"/>
  <c r="D26" i="5"/>
  <c r="L42" i="19" l="1"/>
  <c r="B25" i="19"/>
  <c r="B26" i="19" s="1"/>
  <c r="C5" i="19" s="1"/>
  <c r="L44" i="19"/>
  <c r="L43" i="19"/>
  <c r="M58" i="19"/>
  <c r="I55" i="19" s="1"/>
  <c r="C8" i="19" s="1"/>
  <c r="S42" i="19"/>
  <c r="P39" i="19" s="1"/>
  <c r="B6" i="19" s="1"/>
  <c r="B34" i="19"/>
  <c r="B35" i="19" s="1"/>
  <c r="B5" i="19"/>
  <c r="T20" i="21"/>
  <c r="Q20" i="21" s="1"/>
  <c r="I21" i="21"/>
  <c r="D27" i="5"/>
  <c r="L20" i="21"/>
  <c r="M20" i="21"/>
  <c r="B9" i="19" l="1"/>
  <c r="C32" i="4" s="1"/>
  <c r="C9" i="19"/>
  <c r="I39" i="19"/>
  <c r="C6" i="19" s="1"/>
  <c r="C10" i="19" s="1"/>
  <c r="B10" i="19"/>
  <c r="E24" i="5"/>
  <c r="E26" i="5" s="1"/>
  <c r="D28" i="5"/>
  <c r="K21" i="21"/>
  <c r="S21" i="21"/>
  <c r="U20" i="21"/>
  <c r="P34" i="3" l="1"/>
  <c r="C35" i="4"/>
  <c r="C36" i="4" s="1"/>
  <c r="C40" i="4"/>
  <c r="C41" i="4" s="1"/>
  <c r="P39" i="3" s="1"/>
  <c r="C11" i="19"/>
  <c r="B11" i="19"/>
  <c r="V21" i="21"/>
  <c r="J21" i="21"/>
  <c r="T21" i="21" s="1"/>
  <c r="E27" i="5"/>
  <c r="O34" i="3" l="1"/>
  <c r="I34" i="3"/>
  <c r="F34" i="3"/>
  <c r="L34" i="3"/>
  <c r="P36" i="3"/>
  <c r="C44" i="4"/>
  <c r="G4" i="4" s="1"/>
  <c r="G6" i="4" s="1"/>
  <c r="G11" i="4" s="1"/>
  <c r="N39" i="3"/>
  <c r="H39" i="3"/>
  <c r="D39" i="3"/>
  <c r="L39" i="3"/>
  <c r="I39" i="3"/>
  <c r="K39" i="3"/>
  <c r="G39" i="3"/>
  <c r="F39" i="3"/>
  <c r="J39" i="3"/>
  <c r="O39" i="3"/>
  <c r="M39" i="3"/>
  <c r="E39" i="3"/>
  <c r="M21" i="21"/>
  <c r="L21" i="21"/>
  <c r="U21" i="21"/>
  <c r="S22" i="21"/>
  <c r="F24" i="5"/>
  <c r="F26" i="5" s="1"/>
  <c r="E28" i="5"/>
  <c r="Q21" i="21"/>
  <c r="I22" i="21"/>
  <c r="M36" i="3" l="1"/>
  <c r="M42" i="3" s="1"/>
  <c r="M44" i="3" s="1"/>
  <c r="D36" i="3"/>
  <c r="D42" i="3" s="1"/>
  <c r="N36" i="3"/>
  <c r="N42" i="3" s="1"/>
  <c r="N44" i="3" s="1"/>
  <c r="F36" i="3"/>
  <c r="F42" i="3" s="1"/>
  <c r="F44" i="3" s="1"/>
  <c r="H36" i="3"/>
  <c r="H42" i="3" s="1"/>
  <c r="H44" i="3" s="1"/>
  <c r="K36" i="3"/>
  <c r="K42" i="3" s="1"/>
  <c r="K44" i="3" s="1"/>
  <c r="J36" i="3"/>
  <c r="J42" i="3" s="1"/>
  <c r="J44" i="3" s="1"/>
  <c r="E36" i="3"/>
  <c r="E42" i="3" s="1"/>
  <c r="E44" i="3" s="1"/>
  <c r="G36" i="3"/>
  <c r="G42" i="3" s="1"/>
  <c r="G44" i="3" s="1"/>
  <c r="L36" i="3"/>
  <c r="L42" i="3" s="1"/>
  <c r="L44" i="3" s="1"/>
  <c r="I36" i="3"/>
  <c r="I42" i="3" s="1"/>
  <c r="I44" i="3" s="1"/>
  <c r="O36" i="3"/>
  <c r="O42" i="3" s="1"/>
  <c r="O44" i="3" s="1"/>
  <c r="K22" i="21"/>
  <c r="F27" i="5"/>
  <c r="D44" i="3" l="1"/>
  <c r="D46" i="3" s="1"/>
  <c r="E5" i="3" s="1"/>
  <c r="E46" i="3" s="1"/>
  <c r="F5" i="3" s="1"/>
  <c r="F46" i="3" s="1"/>
  <c r="G5" i="3" s="1"/>
  <c r="G46" i="3" s="1"/>
  <c r="H5" i="3" s="1"/>
  <c r="H46" i="3" s="1"/>
  <c r="I5" i="3" s="1"/>
  <c r="I46" i="3" s="1"/>
  <c r="J5" i="3" s="1"/>
  <c r="J46" i="3" s="1"/>
  <c r="K5" i="3" s="1"/>
  <c r="K46" i="3" s="1"/>
  <c r="L5" i="3" s="1"/>
  <c r="L46" i="3" s="1"/>
  <c r="M5" i="3" s="1"/>
  <c r="M46" i="3" s="1"/>
  <c r="N5" i="3" s="1"/>
  <c r="N46" i="3" s="1"/>
  <c r="O5" i="3" s="1"/>
  <c r="O46" i="3" s="1"/>
  <c r="P42" i="3"/>
  <c r="G24" i="5"/>
  <c r="F28" i="5"/>
  <c r="V22" i="21"/>
  <c r="J22" i="21"/>
  <c r="M22" i="21" s="1"/>
  <c r="G26" i="5" l="1"/>
  <c r="I23" i="21"/>
  <c r="T22" i="21"/>
  <c r="L22" i="21"/>
  <c r="Q22" i="21" l="1"/>
  <c r="U22" i="21"/>
  <c r="S23" i="21"/>
  <c r="K23" i="21"/>
  <c r="G27" i="5"/>
  <c r="H24" i="5" l="1"/>
  <c r="V23" i="21"/>
  <c r="J23" i="21"/>
  <c r="M23" i="21" s="1"/>
  <c r="G28" i="5"/>
  <c r="I24" i="21" l="1"/>
  <c r="L23" i="21"/>
  <c r="H26" i="5"/>
  <c r="T23" i="21"/>
  <c r="U23" i="21" l="1"/>
  <c r="S24" i="21"/>
  <c r="H27" i="5"/>
  <c r="I24" i="5" s="1"/>
  <c r="K24" i="21"/>
  <c r="Q23" i="21"/>
  <c r="H28" i="5" l="1"/>
  <c r="I26" i="5"/>
  <c r="V24" i="21"/>
  <c r="J24" i="21"/>
  <c r="T24" i="21" s="1"/>
  <c r="U24" i="21" l="1"/>
  <c r="S25" i="21"/>
  <c r="Q24" i="21"/>
  <c r="I25" i="21"/>
  <c r="K25" i="21" s="1"/>
  <c r="L24" i="21"/>
  <c r="M24" i="21"/>
  <c r="I27" i="5"/>
  <c r="J24" i="5" s="1"/>
  <c r="J26" i="5" l="1"/>
  <c r="V25" i="21"/>
  <c r="J25" i="21"/>
  <c r="I28" i="5"/>
  <c r="I26" i="21" l="1"/>
  <c r="K26" i="21" s="1"/>
  <c r="M25" i="21"/>
  <c r="T25" i="21"/>
  <c r="L25" i="21"/>
  <c r="J27" i="5"/>
  <c r="K24" i="5" s="1"/>
  <c r="J28" i="5" l="1"/>
  <c r="S26" i="21"/>
  <c r="U25" i="21"/>
  <c r="Q25" i="21"/>
  <c r="K26" i="5"/>
  <c r="V26" i="21"/>
  <c r="J26" i="21"/>
  <c r="I27" i="21" l="1"/>
  <c r="K27" i="5"/>
  <c r="L24" i="5" s="1"/>
  <c r="L26" i="5" s="1"/>
  <c r="M26" i="21"/>
  <c r="L26" i="21"/>
  <c r="T26" i="21"/>
  <c r="S27" i="21" s="1"/>
  <c r="U26" i="21" l="1"/>
  <c r="L27" i="5"/>
  <c r="M24" i="5" s="1"/>
  <c r="Q26" i="21"/>
  <c r="K28" i="5"/>
  <c r="K27" i="21"/>
  <c r="M26" i="5" l="1"/>
  <c r="L28" i="5"/>
  <c r="V27" i="21"/>
  <c r="J27" i="21"/>
  <c r="M27" i="21" s="1"/>
  <c r="I28" i="21" l="1"/>
  <c r="T27" i="21"/>
  <c r="L27" i="21"/>
  <c r="M27" i="5"/>
  <c r="N24" i="5" s="1"/>
  <c r="N26" i="5" s="1"/>
  <c r="N27" i="5" l="1"/>
  <c r="N28" i="5" s="1"/>
  <c r="O26" i="5"/>
  <c r="U27" i="21"/>
  <c r="S28" i="21"/>
  <c r="M28" i="5"/>
  <c r="K28" i="21"/>
  <c r="Q27" i="21"/>
  <c r="O28" i="5" l="1"/>
  <c r="C32" i="5"/>
  <c r="O27" i="5"/>
  <c r="V28" i="21"/>
  <c r="J28" i="21"/>
  <c r="L28" i="21" s="1"/>
  <c r="T28" i="21" l="1"/>
  <c r="Q28" i="21" s="1"/>
  <c r="M28" i="21"/>
  <c r="I29" i="21"/>
  <c r="C34" i="5"/>
  <c r="K29" i="21" l="1"/>
  <c r="C35" i="5"/>
  <c r="D32" i="5" s="1"/>
  <c r="U28" i="21"/>
  <c r="S29" i="21"/>
  <c r="D34" i="5" l="1"/>
  <c r="C36" i="5"/>
  <c r="V29" i="21"/>
  <c r="J29" i="21"/>
  <c r="I30" i="21" s="1"/>
  <c r="L29" i="21" l="1"/>
  <c r="T29" i="21"/>
  <c r="K30" i="21"/>
  <c r="M29" i="21"/>
  <c r="D35" i="5"/>
  <c r="E32" i="5" s="1"/>
  <c r="E34" i="5" s="1"/>
  <c r="D36" i="5" l="1"/>
  <c r="Q29" i="21"/>
  <c r="S30" i="21"/>
  <c r="U29" i="21"/>
  <c r="E35" i="5"/>
  <c r="F32" i="5" s="1"/>
  <c r="V30" i="21"/>
  <c r="J30" i="21"/>
  <c r="F34" i="5" l="1"/>
  <c r="I31" i="21"/>
  <c r="E36" i="5"/>
  <c r="M30" i="21"/>
  <c r="L30" i="21"/>
  <c r="T30" i="21"/>
  <c r="U30" i="21" s="1"/>
  <c r="K31" i="21" l="1"/>
  <c r="Q30" i="21"/>
  <c r="S31" i="21"/>
  <c r="F35" i="5"/>
  <c r="G32" i="5" s="1"/>
  <c r="F36" i="5" l="1"/>
  <c r="G34" i="5"/>
  <c r="V31" i="21"/>
  <c r="J31" i="21"/>
  <c r="T31" i="21" s="1"/>
  <c r="L31" i="21" l="1"/>
  <c r="S32" i="21"/>
  <c r="U31" i="21"/>
  <c r="Q31" i="21"/>
  <c r="I32" i="21"/>
  <c r="G35" i="5"/>
  <c r="H32" i="5" s="1"/>
  <c r="M31" i="21"/>
  <c r="H34" i="5" l="1"/>
  <c r="G36" i="5"/>
  <c r="K32" i="21"/>
  <c r="V32" i="21" l="1"/>
  <c r="J32" i="21"/>
  <c r="H35" i="5"/>
  <c r="I32" i="5" s="1"/>
  <c r="H36" i="5" l="1"/>
  <c r="I34" i="5"/>
  <c r="L32" i="21"/>
  <c r="I33" i="21"/>
  <c r="T32" i="21"/>
  <c r="M32" i="21"/>
  <c r="S33" i="21" l="1"/>
  <c r="U32" i="21"/>
  <c r="K33" i="21"/>
  <c r="Q32" i="21"/>
  <c r="I35" i="5"/>
  <c r="J32" i="5" s="1"/>
  <c r="J34" i="5" s="1"/>
  <c r="J35" i="5" l="1"/>
  <c r="K32" i="5" s="1"/>
  <c r="I36" i="5"/>
  <c r="V33" i="21"/>
  <c r="J33" i="21"/>
  <c r="M33" i="21" s="1"/>
  <c r="L33" i="21" l="1"/>
  <c r="I34" i="21"/>
  <c r="T33" i="21"/>
  <c r="J36" i="5"/>
  <c r="K34" i="5"/>
  <c r="U33" i="21" l="1"/>
  <c r="S34" i="21"/>
  <c r="K34" i="21"/>
  <c r="Q33" i="21"/>
  <c r="K35" i="5"/>
  <c r="L32" i="5" s="1"/>
  <c r="K36" i="5" l="1"/>
  <c r="V34" i="21"/>
  <c r="J34" i="21"/>
  <c r="T34" i="21" s="1"/>
  <c r="L34" i="5"/>
  <c r="U34" i="21" l="1"/>
  <c r="S35" i="21"/>
  <c r="M34" i="21"/>
  <c r="Q34" i="21"/>
  <c r="I35" i="21"/>
  <c r="L34" i="21"/>
  <c r="L35" i="5"/>
  <c r="M32" i="5" s="1"/>
  <c r="L36" i="5" l="1"/>
  <c r="M34" i="5"/>
  <c r="K35" i="21"/>
  <c r="M35" i="5" l="1"/>
  <c r="N32" i="5" s="1"/>
  <c r="V35" i="21"/>
  <c r="J35" i="21"/>
  <c r="M35" i="21" l="1"/>
  <c r="I36" i="21"/>
  <c r="L35" i="21"/>
  <c r="T35" i="21"/>
  <c r="M36" i="5"/>
  <c r="N34" i="5"/>
  <c r="U35" i="21" l="1"/>
  <c r="S36" i="21"/>
  <c r="N35" i="5"/>
  <c r="O34" i="5"/>
  <c r="K36" i="21"/>
  <c r="Q35" i="21"/>
  <c r="V36" i="21" l="1"/>
  <c r="J36" i="21"/>
  <c r="O35" i="5"/>
  <c r="C40" i="5"/>
  <c r="C42" i="5" s="1"/>
  <c r="N36" i="5"/>
  <c r="O36" i="5" s="1"/>
  <c r="C43" i="5" l="1"/>
  <c r="C44" i="5" s="1"/>
  <c r="L36" i="21"/>
  <c r="I37" i="21"/>
  <c r="M36" i="21"/>
  <c r="T36" i="21"/>
  <c r="S37" i="21" l="1"/>
  <c r="U36" i="21"/>
  <c r="K37" i="21"/>
  <c r="Q36" i="21"/>
  <c r="D40" i="5"/>
  <c r="D42" i="5" l="1"/>
  <c r="V37" i="21"/>
  <c r="J37" i="21"/>
  <c r="T37" i="21" s="1"/>
  <c r="U37" i="21" l="1"/>
  <c r="S38" i="21"/>
  <c r="L37" i="21"/>
  <c r="Q37" i="21"/>
  <c r="I38" i="21"/>
  <c r="M37" i="21"/>
  <c r="D43" i="5"/>
  <c r="D44" i="5" s="1"/>
  <c r="E40" i="5" l="1"/>
  <c r="K38" i="21"/>
  <c r="V38" i="21" l="1"/>
  <c r="J38" i="21"/>
  <c r="E42" i="5"/>
  <c r="L38" i="21" l="1"/>
  <c r="I39" i="21"/>
  <c r="T38" i="21"/>
  <c r="E43" i="5"/>
  <c r="M38" i="21"/>
  <c r="F40" i="5" l="1"/>
  <c r="S39" i="21"/>
  <c r="U38" i="21"/>
  <c r="K39" i="21"/>
  <c r="Q38" i="21"/>
  <c r="E44" i="5"/>
  <c r="F42" i="5" l="1"/>
  <c r="V39" i="21"/>
  <c r="J39" i="21"/>
  <c r="L39" i="21" s="1"/>
  <c r="M39" i="21" l="1"/>
  <c r="F43" i="5"/>
  <c r="I40" i="21"/>
  <c r="T39" i="21"/>
  <c r="U39" i="21" l="1"/>
  <c r="S40" i="21"/>
  <c r="G40" i="5"/>
  <c r="K40" i="21"/>
  <c r="Q39" i="21"/>
  <c r="F44" i="5"/>
  <c r="V40" i="21" l="1"/>
  <c r="J40" i="21"/>
  <c r="T40" i="21" s="1"/>
  <c r="G42" i="5"/>
  <c r="Q40" i="21" l="1"/>
  <c r="U40" i="21"/>
  <c r="S41" i="21"/>
  <c r="M40" i="21"/>
  <c r="L40" i="21"/>
  <c r="I41" i="21"/>
  <c r="G43" i="5"/>
  <c r="G44" i="5" s="1"/>
  <c r="H40" i="5" l="1"/>
  <c r="K41" i="21"/>
  <c r="V41" i="21" l="1"/>
  <c r="J41" i="21"/>
  <c r="H42" i="5"/>
  <c r="T41" i="21" l="1"/>
  <c r="Q41" i="21" s="1"/>
  <c r="I42" i="21"/>
  <c r="M41" i="21"/>
  <c r="H43" i="5"/>
  <c r="I40" i="5" s="1"/>
  <c r="L41" i="21"/>
  <c r="I42" i="5" l="1"/>
  <c r="H44" i="5"/>
  <c r="K42" i="21"/>
  <c r="S42" i="21"/>
  <c r="U41" i="21"/>
  <c r="V42" i="21" l="1"/>
  <c r="J42" i="21"/>
  <c r="T42" i="21" s="1"/>
  <c r="I43" i="5"/>
  <c r="J40" i="5" s="1"/>
  <c r="U42" i="21" l="1"/>
  <c r="S43" i="21"/>
  <c r="J42" i="5"/>
  <c r="L42" i="21"/>
  <c r="I44" i="5"/>
  <c r="Q42" i="21"/>
  <c r="I43" i="21"/>
  <c r="M42" i="21"/>
  <c r="J43" i="5" l="1"/>
  <c r="K40" i="5" s="1"/>
  <c r="K43" i="21"/>
  <c r="V43" i="21" l="1"/>
  <c r="J43" i="21"/>
  <c r="J44" i="5"/>
  <c r="K42" i="5"/>
  <c r="K43" i="5" l="1"/>
  <c r="L40" i="5" s="1"/>
  <c r="M43" i="21"/>
  <c r="I44" i="21"/>
  <c r="L43" i="21"/>
  <c r="T43" i="21"/>
  <c r="U43" i="21" l="1"/>
  <c r="S44" i="21"/>
  <c r="K44" i="21"/>
  <c r="Q43" i="21"/>
  <c r="K44" i="5"/>
  <c r="L42" i="5"/>
  <c r="L43" i="5" l="1"/>
  <c r="M40" i="5" s="1"/>
  <c r="V44" i="21"/>
  <c r="J44" i="21"/>
  <c r="M44" i="21" s="1"/>
  <c r="L44" i="21" l="1"/>
  <c r="T44" i="21"/>
  <c r="I45" i="21"/>
  <c r="L44" i="5"/>
  <c r="M42" i="5"/>
  <c r="M43" i="5" l="1"/>
  <c r="N40" i="5" s="1"/>
  <c r="N42" i="5" s="1"/>
  <c r="U44" i="21"/>
  <c r="S45" i="21"/>
  <c r="K45" i="21"/>
  <c r="Q44" i="21"/>
  <c r="V45" i="21" l="1"/>
  <c r="J45" i="21"/>
  <c r="L45" i="21" s="1"/>
  <c r="M44" i="5"/>
  <c r="N43" i="5"/>
  <c r="N44" i="5" s="1"/>
  <c r="O42" i="5"/>
  <c r="O44" i="5" l="1"/>
  <c r="M45" i="21"/>
  <c r="T45" i="21"/>
  <c r="S46" i="21" s="1"/>
  <c r="I46" i="21"/>
  <c r="C48" i="5"/>
  <c r="O43" i="5"/>
  <c r="Q45" i="21" l="1"/>
  <c r="U45" i="21"/>
  <c r="K46" i="21"/>
  <c r="C50" i="5"/>
  <c r="C51" i="5" l="1"/>
  <c r="C52" i="5" s="1"/>
  <c r="V46" i="21"/>
  <c r="J46" i="21"/>
  <c r="L46" i="21" s="1"/>
  <c r="M46" i="21" l="1"/>
  <c r="T46" i="21"/>
  <c r="I47" i="21"/>
  <c r="D48" i="5"/>
  <c r="D50" i="5" l="1"/>
  <c r="Q46" i="21"/>
  <c r="U46" i="21"/>
  <c r="S47" i="21"/>
  <c r="K47" i="21"/>
  <c r="V47" i="21" l="1"/>
  <c r="J47" i="21"/>
  <c r="D51" i="5"/>
  <c r="I48" i="21" l="1"/>
  <c r="E48" i="5"/>
  <c r="E50" i="5" s="1"/>
  <c r="M47" i="21"/>
  <c r="L47" i="21"/>
  <c r="D52" i="5"/>
  <c r="T47" i="21"/>
  <c r="U47" i="21" l="1"/>
  <c r="S48" i="21"/>
  <c r="K48" i="21"/>
  <c r="E51" i="5"/>
  <c r="Q47" i="21"/>
  <c r="F48" i="5" l="1"/>
  <c r="E52" i="5"/>
  <c r="V48" i="21"/>
  <c r="J48" i="21"/>
  <c r="M48" i="21" s="1"/>
  <c r="L48" i="21" l="1"/>
  <c r="T48" i="21"/>
  <c r="Q48" i="21" s="1"/>
  <c r="I49" i="21"/>
  <c r="F50" i="5"/>
  <c r="K49" i="21" l="1"/>
  <c r="U48" i="21"/>
  <c r="S49" i="21"/>
  <c r="F51" i="5"/>
  <c r="G48" i="5" l="1"/>
  <c r="G50" i="5" s="1"/>
  <c r="F52" i="5"/>
  <c r="V49" i="21"/>
  <c r="J49" i="21"/>
  <c r="M49" i="21" s="1"/>
  <c r="T49" i="21" l="1"/>
  <c r="U49" i="21" s="1"/>
  <c r="G51" i="5"/>
  <c r="L49" i="21"/>
  <c r="I50" i="21"/>
  <c r="S50" i="21" l="1"/>
  <c r="Q49" i="21"/>
  <c r="H48" i="5"/>
  <c r="K50" i="21"/>
  <c r="G52" i="5"/>
  <c r="H50" i="5" l="1"/>
  <c r="V50" i="21"/>
  <c r="J50" i="21"/>
  <c r="T50" i="21" l="1"/>
  <c r="Q50" i="21" s="1"/>
  <c r="L50" i="21"/>
  <c r="I51" i="21"/>
  <c r="M50" i="21"/>
  <c r="H51" i="5"/>
  <c r="I48" i="5" s="1"/>
  <c r="I50" i="5" s="1"/>
  <c r="H52" i="5" l="1"/>
  <c r="I51" i="5"/>
  <c r="J48" i="5" s="1"/>
  <c r="K51" i="21"/>
  <c r="S51" i="21"/>
  <c r="U50" i="21"/>
  <c r="V51" i="21" l="1"/>
  <c r="J51" i="21"/>
  <c r="I52" i="5"/>
  <c r="J50" i="5"/>
  <c r="I52" i="21" l="1"/>
  <c r="J51" i="5"/>
  <c r="K48" i="5" s="1"/>
  <c r="L51" i="21"/>
  <c r="M51" i="21"/>
  <c r="T51" i="21"/>
  <c r="S52" i="21" l="1"/>
  <c r="U51" i="21"/>
  <c r="K50" i="5"/>
  <c r="J52" i="5"/>
  <c r="K52" i="21"/>
  <c r="Q51" i="21"/>
  <c r="V52" i="21" l="1"/>
  <c r="J52" i="21"/>
  <c r="T52" i="21" s="1"/>
  <c r="K51" i="5"/>
  <c r="L48" i="5" s="1"/>
  <c r="Q52" i="21" l="1"/>
  <c r="U52" i="21"/>
  <c r="S53" i="21"/>
  <c r="L52" i="21"/>
  <c r="K52" i="5"/>
  <c r="M52" i="21"/>
  <c r="I53" i="21"/>
  <c r="L50" i="5"/>
  <c r="L51" i="5" l="1"/>
  <c r="M48" i="5" s="1"/>
  <c r="K53" i="21"/>
  <c r="V53" i="21" l="1"/>
  <c r="J53" i="21"/>
  <c r="M50" i="5"/>
  <c r="L52" i="5"/>
  <c r="M51" i="5" l="1"/>
  <c r="N48" i="5" s="1"/>
  <c r="N50" i="5" s="1"/>
  <c r="L53" i="21"/>
  <c r="I54" i="21"/>
  <c r="M53" i="21"/>
  <c r="T53" i="21"/>
  <c r="Q53" i="21" s="1"/>
  <c r="S54" i="21" l="1"/>
  <c r="U53" i="21"/>
  <c r="K54" i="21"/>
  <c r="M52" i="5"/>
  <c r="N51" i="5"/>
  <c r="O50" i="5"/>
  <c r="C56" i="5" l="1"/>
  <c r="O51" i="5"/>
  <c r="V54" i="21"/>
  <c r="J54" i="21"/>
  <c r="M54" i="21" s="1"/>
  <c r="N52" i="5"/>
  <c r="O52" i="5" s="1"/>
  <c r="I55" i="21" l="1"/>
  <c r="L54" i="21"/>
  <c r="T54" i="21"/>
  <c r="C58" i="5"/>
  <c r="C59" i="5" l="1"/>
  <c r="D56" i="5" s="1"/>
  <c r="S55" i="21"/>
  <c r="U54" i="21"/>
  <c r="K55" i="21"/>
  <c r="Q54" i="21"/>
  <c r="D58" i="5" l="1"/>
  <c r="V55" i="21"/>
  <c r="J55" i="21"/>
  <c r="C60" i="5"/>
  <c r="L55" i="21" l="1"/>
  <c r="I56" i="21"/>
  <c r="M55" i="21"/>
  <c r="T55" i="21"/>
  <c r="D59" i="5"/>
  <c r="E56" i="5" s="1"/>
  <c r="S56" i="21" l="1"/>
  <c r="U55" i="21"/>
  <c r="E58" i="5"/>
  <c r="K56" i="21"/>
  <c r="Q55" i="21"/>
  <c r="D60" i="5"/>
  <c r="V56" i="21" l="1"/>
  <c r="J56" i="21"/>
  <c r="M56" i="21" s="1"/>
  <c r="E59" i="5"/>
  <c r="F56" i="5" s="1"/>
  <c r="E60" i="5" l="1"/>
  <c r="F58" i="5"/>
  <c r="L56" i="21"/>
  <c r="I57" i="21"/>
  <c r="T56" i="21"/>
  <c r="K57" i="21" l="1"/>
  <c r="Q56" i="21"/>
  <c r="S57" i="21"/>
  <c r="U56" i="21"/>
  <c r="F59" i="5"/>
  <c r="G56" i="5" s="1"/>
  <c r="F60" i="5" l="1"/>
  <c r="G58" i="5"/>
  <c r="G59" i="5" s="1"/>
  <c r="H56" i="5" s="1"/>
  <c r="H58" i="5" s="1"/>
  <c r="V57" i="21"/>
  <c r="J57" i="21"/>
  <c r="L57" i="21" s="1"/>
  <c r="M57" i="21" l="1"/>
  <c r="H59" i="5"/>
  <c r="I56" i="5" s="1"/>
  <c r="I58" i="5" s="1"/>
  <c r="G60" i="5"/>
  <c r="I58" i="21"/>
  <c r="T57" i="21"/>
  <c r="U57" i="21" l="1"/>
  <c r="S58" i="21"/>
  <c r="Q57" i="21"/>
  <c r="K58" i="21"/>
  <c r="I59" i="5"/>
  <c r="J56" i="5" s="1"/>
  <c r="H60" i="5"/>
  <c r="J58" i="5" l="1"/>
  <c r="V58" i="21"/>
  <c r="J58" i="21"/>
  <c r="I60" i="5"/>
  <c r="T58" i="21" l="1"/>
  <c r="Q58" i="21" s="1"/>
  <c r="I59" i="21"/>
  <c r="M58" i="21"/>
  <c r="L58" i="21"/>
  <c r="J59" i="5"/>
  <c r="K56" i="5" s="1"/>
  <c r="K58" i="5" s="1"/>
  <c r="J60" i="5" l="1"/>
  <c r="K59" i="21"/>
  <c r="K59" i="5"/>
  <c r="L56" i="5" s="1"/>
  <c r="U58" i="21"/>
  <c r="S59" i="21"/>
  <c r="K60" i="5" l="1"/>
  <c r="L58" i="5"/>
  <c r="V59" i="21"/>
  <c r="J59" i="21"/>
  <c r="T59" i="21" s="1"/>
  <c r="U59" i="21" l="1"/>
  <c r="S60" i="21"/>
  <c r="L59" i="5"/>
  <c r="M56" i="5" s="1"/>
  <c r="Q59" i="21"/>
  <c r="I60" i="21"/>
  <c r="L59" i="21"/>
  <c r="M59" i="21"/>
  <c r="L60" i="5" l="1"/>
  <c r="K60" i="21"/>
  <c r="M58" i="5"/>
  <c r="M59" i="5"/>
  <c r="N56" i="5" s="1"/>
  <c r="M60" i="5" l="1"/>
  <c r="N58" i="5"/>
  <c r="V60" i="21"/>
  <c r="J60" i="21"/>
  <c r="N59" i="5" l="1"/>
  <c r="N60" i="5" s="1"/>
  <c r="O60" i="5" s="1"/>
  <c r="O58" i="5"/>
  <c r="I61" i="21"/>
  <c r="T60" i="21"/>
  <c r="L60" i="21"/>
  <c r="M60" i="21"/>
  <c r="S61" i="21" l="1"/>
  <c r="U60" i="21"/>
  <c r="Q60" i="21"/>
  <c r="K61" i="21"/>
  <c r="O59" i="5"/>
  <c r="C64" i="5"/>
  <c r="C66" i="5" l="1"/>
  <c r="V61" i="21"/>
  <c r="J61" i="21"/>
  <c r="L61" i="21" s="1"/>
  <c r="M61" i="21" l="1"/>
  <c r="I62" i="21"/>
  <c r="T61" i="21"/>
  <c r="C67" i="5"/>
  <c r="D64" i="5" l="1"/>
  <c r="Q61" i="21"/>
  <c r="U61" i="21"/>
  <c r="S62" i="21"/>
  <c r="C68" i="5"/>
  <c r="K62" i="21"/>
  <c r="V62" i="21" l="1"/>
  <c r="J62" i="21"/>
  <c r="M62" i="21" s="1"/>
  <c r="D66" i="5"/>
  <c r="D67" i="5" l="1"/>
  <c r="D68" i="5" s="1"/>
  <c r="L62" i="21"/>
  <c r="T62" i="21"/>
  <c r="I63" i="21"/>
  <c r="K63" i="21" l="1"/>
  <c r="S63" i="21"/>
  <c r="U62" i="21"/>
  <c r="Q62" i="21"/>
  <c r="E64" i="5"/>
  <c r="E66" i="5" s="1"/>
  <c r="E67" i="5" l="1"/>
  <c r="E68" i="5" s="1"/>
  <c r="V63" i="21"/>
  <c r="J63" i="21"/>
  <c r="L63" i="21" s="1"/>
  <c r="T63" i="21" l="1"/>
  <c r="M63" i="21"/>
  <c r="I64" i="21"/>
  <c r="F64" i="5"/>
  <c r="F66" i="5" s="1"/>
  <c r="Q63" i="21" l="1"/>
  <c r="U63" i="21"/>
  <c r="S64" i="21"/>
  <c r="F67" i="5"/>
  <c r="F68" i="5" s="1"/>
  <c r="K64" i="21"/>
  <c r="G64" i="5" l="1"/>
  <c r="V64" i="21"/>
  <c r="J64" i="21"/>
  <c r="L64" i="21" l="1"/>
  <c r="I65" i="21"/>
  <c r="T64" i="21"/>
  <c r="Q64" i="21" s="1"/>
  <c r="M64" i="21"/>
  <c r="G66" i="5"/>
  <c r="G67" i="5" l="1"/>
  <c r="K65" i="21"/>
  <c r="U64" i="21"/>
  <c r="S65" i="21"/>
  <c r="V65" i="21" l="1"/>
  <c r="J65" i="21"/>
  <c r="T65" i="21" s="1"/>
  <c r="H64" i="5"/>
  <c r="H66" i="5" s="1"/>
  <c r="G68" i="5"/>
  <c r="S66" i="21" l="1"/>
  <c r="U65" i="21"/>
  <c r="H67" i="5"/>
  <c r="I64" i="5" s="1"/>
  <c r="I66" i="5" s="1"/>
  <c r="L65" i="21"/>
  <c r="M65" i="21"/>
  <c r="Q65" i="21"/>
  <c r="I66" i="21"/>
  <c r="H68" i="5" l="1"/>
  <c r="K66" i="21"/>
  <c r="I67" i="5"/>
  <c r="J64" i="5" s="1"/>
  <c r="I68" i="5" l="1"/>
  <c r="J66" i="5"/>
  <c r="V66" i="21"/>
  <c r="J66" i="21"/>
  <c r="I67" i="21" l="1"/>
  <c r="M66" i="21"/>
  <c r="L66" i="21"/>
  <c r="T66" i="21"/>
  <c r="Q66" i="21" s="1"/>
  <c r="J67" i="5"/>
  <c r="K64" i="5" s="1"/>
  <c r="J68" i="5" l="1"/>
  <c r="K66" i="5"/>
  <c r="U66" i="21"/>
  <c r="S67" i="21"/>
  <c r="K67" i="21"/>
  <c r="V67" i="21" l="1"/>
  <c r="J67" i="21"/>
  <c r="K67" i="5"/>
  <c r="L64" i="5" s="1"/>
  <c r="I68" i="21" l="1"/>
  <c r="L66" i="5"/>
  <c r="M67" i="21"/>
  <c r="T67" i="21"/>
  <c r="K68" i="5"/>
  <c r="L67" i="21"/>
  <c r="U67" i="21" l="1"/>
  <c r="S68" i="21"/>
  <c r="L67" i="5"/>
  <c r="M64" i="5" s="1"/>
  <c r="K68" i="21"/>
  <c r="Q67" i="21"/>
  <c r="L68" i="5" l="1"/>
  <c r="V68" i="21"/>
  <c r="J68" i="21"/>
  <c r="T68" i="21" s="1"/>
  <c r="M66" i="5"/>
  <c r="S69" i="21" l="1"/>
  <c r="U68" i="21"/>
  <c r="M68" i="21"/>
  <c r="L68" i="21"/>
  <c r="M67" i="5"/>
  <c r="N64" i="5" s="1"/>
  <c r="N66" i="5" s="1"/>
  <c r="Q68" i="21"/>
  <c r="I69" i="21"/>
  <c r="K69" i="21" s="1"/>
  <c r="M68" i="5" l="1"/>
  <c r="V69" i="21"/>
  <c r="J69" i="21"/>
  <c r="I70" i="21" s="1"/>
  <c r="K70" i="21" s="1"/>
  <c r="N67" i="5"/>
  <c r="N68" i="5" s="1"/>
  <c r="O66" i="5"/>
  <c r="T69" i="21" l="1"/>
  <c r="Q69" i="21" s="1"/>
  <c r="O68" i="5"/>
  <c r="M69" i="21"/>
  <c r="J9" i="5" s="1"/>
  <c r="J10" i="5" s="1"/>
  <c r="H23" i="2" s="1"/>
  <c r="L69" i="21"/>
  <c r="C72" i="5"/>
  <c r="O67" i="5"/>
  <c r="U69" i="21" l="1"/>
  <c r="C74" i="5"/>
  <c r="C75" i="5" l="1"/>
  <c r="D72" i="5" s="1"/>
  <c r="D74" i="5" l="1"/>
  <c r="C76" i="5"/>
  <c r="D75" i="5" l="1"/>
  <c r="E72" i="5" s="1"/>
  <c r="E74" i="5" s="1"/>
  <c r="D76" i="5" l="1"/>
  <c r="E75" i="5"/>
  <c r="F72" i="5" s="1"/>
  <c r="F74" i="5" s="1"/>
  <c r="E76" i="5" l="1"/>
  <c r="F75" i="5"/>
  <c r="G72" i="5" s="1"/>
  <c r="F76" i="5" l="1"/>
  <c r="G74" i="5"/>
  <c r="G75" i="5" l="1"/>
  <c r="H72" i="5" s="1"/>
  <c r="H74" i="5" s="1"/>
  <c r="G76" i="5" l="1"/>
  <c r="H75" i="5"/>
  <c r="I72" i="5" s="1"/>
  <c r="I74" i="5" s="1"/>
  <c r="H76" i="5" l="1"/>
  <c r="I75" i="5"/>
  <c r="J72" i="5" s="1"/>
  <c r="I76" i="5" l="1"/>
  <c r="J74" i="5"/>
  <c r="J75" i="5" l="1"/>
  <c r="K72" i="5" s="1"/>
  <c r="K74" i="5" s="1"/>
  <c r="J76" i="5" l="1"/>
  <c r="K75" i="5"/>
  <c r="L72" i="5" s="1"/>
  <c r="K76" i="5" l="1"/>
  <c r="L74" i="5"/>
  <c r="L75" i="5" l="1"/>
  <c r="M72" i="5" s="1"/>
  <c r="L76" i="5" l="1"/>
  <c r="M74" i="5"/>
  <c r="M75" i="5" l="1"/>
  <c r="N72" i="5" s="1"/>
  <c r="M76" i="5" l="1"/>
  <c r="N74" i="5"/>
  <c r="N75" i="5" l="1"/>
  <c r="N76" i="5" s="1"/>
  <c r="O76" i="5" s="1"/>
  <c r="O74" i="5"/>
  <c r="O75" i="5" l="1"/>
  <c r="C80" i="5"/>
  <c r="C82" i="5" l="1"/>
  <c r="C83" i="5" l="1"/>
  <c r="D80" i="5" l="1"/>
  <c r="D82" i="5" s="1"/>
  <c r="C84" i="5"/>
  <c r="D83" i="5" l="1"/>
  <c r="E80" i="5" l="1"/>
  <c r="D84" i="5"/>
  <c r="E82" i="5" l="1"/>
  <c r="E83" i="5" l="1"/>
  <c r="F80" i="5" l="1"/>
  <c r="E84" i="5"/>
  <c r="F82" i="5" l="1"/>
  <c r="F83" i="5" l="1"/>
  <c r="F84" i="5" s="1"/>
  <c r="G80" i="5" l="1"/>
  <c r="G82" i="5" s="1"/>
  <c r="G83" i="5" l="1"/>
  <c r="G84" i="5" s="1"/>
  <c r="H80" i="5" l="1"/>
  <c r="H82" i="5" s="1"/>
  <c r="H83" i="5" l="1"/>
  <c r="I80" i="5" s="1"/>
  <c r="H84" i="5" l="1"/>
  <c r="I82" i="5"/>
  <c r="I83" i="5" l="1"/>
  <c r="J80" i="5" s="1"/>
  <c r="I84" i="5" l="1"/>
  <c r="J82" i="5"/>
  <c r="J83" i="5" l="1"/>
  <c r="K80" i="5" s="1"/>
  <c r="J84" i="5" l="1"/>
  <c r="K82" i="5"/>
  <c r="K83" i="5" l="1"/>
  <c r="L80" i="5" s="1"/>
  <c r="L82" i="5" s="1"/>
  <c r="K84" i="5" l="1"/>
  <c r="L83" i="5"/>
  <c r="M80" i="5" s="1"/>
  <c r="L84" i="5" l="1"/>
  <c r="M82" i="5"/>
  <c r="M83" i="5" s="1"/>
  <c r="N80" i="5" s="1"/>
  <c r="N82" i="5" l="1"/>
  <c r="N83" i="5"/>
  <c r="M84" i="5"/>
  <c r="C88" i="5" l="1"/>
  <c r="C90" i="5" s="1"/>
  <c r="O83" i="5"/>
  <c r="N84" i="5"/>
  <c r="O84" i="5" s="1"/>
  <c r="O82" i="5"/>
  <c r="C91" i="5" l="1"/>
  <c r="D88" i="5" s="1"/>
  <c r="D90" i="5" s="1"/>
  <c r="C92" i="5" l="1"/>
  <c r="D91" i="5"/>
  <c r="E88" i="5" s="1"/>
  <c r="E90" i="5" s="1"/>
  <c r="D92" i="5" l="1"/>
  <c r="E91" i="5"/>
  <c r="F88" i="5" s="1"/>
  <c r="F90" i="5" s="1"/>
  <c r="E92" i="5" l="1"/>
  <c r="F91" i="5"/>
  <c r="G88" i="5" s="1"/>
  <c r="F92" i="5" l="1"/>
  <c r="G90" i="5"/>
  <c r="G91" i="5" l="1"/>
  <c r="H88" i="5" s="1"/>
  <c r="H90" i="5" s="1"/>
  <c r="G92" i="5" l="1"/>
  <c r="H91" i="5"/>
  <c r="I88" i="5" s="1"/>
  <c r="I90" i="5" s="1"/>
  <c r="H92" i="5" l="1"/>
  <c r="I91" i="5"/>
  <c r="J88" i="5" s="1"/>
  <c r="J90" i="5" s="1"/>
  <c r="I92" i="5" l="1"/>
  <c r="J91" i="5"/>
  <c r="K88" i="5" s="1"/>
  <c r="K90" i="5" s="1"/>
  <c r="J92" i="5" l="1"/>
  <c r="K91" i="5"/>
  <c r="L88" i="5" s="1"/>
  <c r="K92" i="5" l="1"/>
  <c r="L90" i="5"/>
  <c r="L91" i="5" l="1"/>
  <c r="M88" i="5" s="1"/>
  <c r="L92" i="5" l="1"/>
  <c r="M90" i="5"/>
  <c r="M91" i="5" l="1"/>
  <c r="N88" i="5" s="1"/>
  <c r="N90" i="5" s="1"/>
  <c r="M92" i="5" l="1"/>
  <c r="N91" i="5"/>
  <c r="O91" i="5" s="1"/>
  <c r="J5" i="5" s="1"/>
  <c r="O90" i="5"/>
  <c r="J6" i="5" s="1"/>
  <c r="N92" i="5" l="1"/>
  <c r="O92" i="5" s="1"/>
  <c r="J4" i="5" s="1"/>
</calcChain>
</file>

<file path=xl/sharedStrings.xml><?xml version="1.0" encoding="utf-8"?>
<sst xmlns="http://schemas.openxmlformats.org/spreadsheetml/2006/main" count="1612" uniqueCount="1206">
  <si>
    <t>Select your language:</t>
  </si>
  <si>
    <t>Nederlands</t>
  </si>
  <si>
    <t>Financieel plan</t>
  </si>
  <si>
    <t>N.B.: Voordat je verder gaat moet het bestand worden opgeslagen op jouw computer. Dit doe je via Bestand -&gt; Opslaan als, of met F12.</t>
  </si>
  <si>
    <t>Introductie</t>
  </si>
  <si>
    <t>Het maken van een financieel plan is een belangrijk onderdeel van je ondernemingsplan, zeker als je een financiering wilt aanvragen. Een compleet financieel plan bestaat  minimaal uit onderstaande begrotingen. Klik op de onderstaande begrotingen om ze te bekijken.</t>
  </si>
  <si>
    <t xml:space="preserve">    Investeringsbegroting</t>
  </si>
  <si>
    <t xml:space="preserve">    Financieringsbegroting</t>
  </si>
  <si>
    <t xml:space="preserve">    Exploitatiebegroting</t>
  </si>
  <si>
    <t xml:space="preserve">    Liquiditeitsbegroting</t>
  </si>
  <si>
    <t>Hoe in te vullen?</t>
  </si>
  <si>
    <t xml:space="preserve">Dit financiële format helpt je met het opstellen van deze prognoses. </t>
  </si>
  <si>
    <r>
      <t>Het opstellen van dit financiële plan doe je door het beantwoorden van de vragen die worden gesteld op het</t>
    </r>
    <r>
      <rPr>
        <b/>
        <sz val="11"/>
        <color indexed="53"/>
        <rFont val="Calibri"/>
        <family val="2"/>
      </rPr>
      <t xml:space="preserve"> tabblad VRAGENIJST</t>
    </r>
  </si>
  <si>
    <t>Bij de meeste vragen moet je een bedrag invullen, bij andere vragen moet een getal of onderdeel selecteren uit een lijst.</t>
  </si>
  <si>
    <t>Door het beantwoorden van de vragenlijst, worden de financiële overzichten automatisch ingevuld en doorgerekend.</t>
  </si>
  <si>
    <t>Deze overzichten zijn te vinden op de blauw gekleurden tabbladen. Deze tabbladen zijn niet in te vullen of te wijzigen. Als je een wijziging wilt aanbrengen doe je dat door het antwoord op de vraag in de vragenlijst te wijzigen!</t>
  </si>
  <si>
    <t>Voorbeeld bedrag invullen:</t>
  </si>
  <si>
    <t>Voorbeeld selecteren:</t>
  </si>
  <si>
    <r>
      <rPr>
        <b/>
        <sz val="11"/>
        <color indexed="62"/>
        <rFont val="Calibri"/>
        <family val="2"/>
      </rPr>
      <t xml:space="preserve">N.B: </t>
    </r>
    <r>
      <rPr>
        <sz val="11"/>
        <color indexed="62"/>
        <rFont val="Calibri"/>
        <family val="2"/>
      </rPr>
      <t>Mocht je een selectie ongedaan willen maken, gebruik dan de knop "Delete". Het is dan mogelijk alsnog een nieuwe selectie in te voeren. Als je een antwoord wijzigt door middel van een selectie in de "antwoordcel", kan het zijn dat een vervolgvraag die je al wel had beantwoord, niet meer van toepassing is en komt te vervallen. Het bedrag dat je had ingevuld, moet je dan ook verwijderen, anders wordt deze ten onrechte meegenomen in de financiële overzichten.</t>
    </r>
  </si>
  <si>
    <t>Uitprinten</t>
  </si>
  <si>
    <t>Je kunt het gehele financiële plan in één keer uitprinten door in het scherm 'afdrukken' het vakje 'hele werkmap' te selecteren.</t>
  </si>
  <si>
    <t>Financieringsaanvraag</t>
  </si>
  <si>
    <t xml:space="preserve">Als je dit plan opstelt ten behoeve van een financieringsaanvraag bij Qredits, </t>
  </si>
  <si>
    <t>dan kunt je het financiële plan samen met je ondernemingsplan uploaden via:</t>
  </si>
  <si>
    <t>https://qredits.nl/krediet/</t>
  </si>
  <si>
    <t xml:space="preserve">Disclaimer: Qredits draagt er zorg voor om de inhoud van deze module regelmatig bij te werken of toevoegingen hieraan te maken. Desalniettemin is Qredits niet aansprakelijk voor onjuistheden of onvolledigheden in de aangeboden inhoud. Qredits is op geen enkele wijze aansprakelijkheid voor schade voortvloeiend uit het gebruik van deze module. Het is de gebruiker slechts toegestaan om de module voor eigen gebruik op te slaan, af te drukken en te kopiëren.  </t>
  </si>
  <si>
    <t>Versie 4.2017.5</t>
  </si>
  <si>
    <t>1.</t>
  </si>
  <si>
    <t>Eenmanszaak</t>
  </si>
  <si>
    <t>Eén</t>
  </si>
  <si>
    <t>-</t>
  </si>
  <si>
    <t>Product 1</t>
  </si>
  <si>
    <t>Product 2</t>
  </si>
  <si>
    <t>Ja</t>
  </si>
  <si>
    <t>Direct</t>
  </si>
  <si>
    <t>Hoeveel is de inkoopwaarde van je omzet per maand?</t>
  </si>
  <si>
    <t>Getal:</t>
  </si>
  <si>
    <t>Maand 1</t>
  </si>
  <si>
    <t>vul bedrag in:</t>
  </si>
  <si>
    <t>Maand 2</t>
  </si>
  <si>
    <t>Maand 3</t>
  </si>
  <si>
    <t>Maand 4</t>
  </si>
  <si>
    <t>Maand 5</t>
  </si>
  <si>
    <t>Maand 6</t>
  </si>
  <si>
    <t>Maand 7</t>
  </si>
  <si>
    <t>Maand 8</t>
  </si>
  <si>
    <t>Maand 9</t>
  </si>
  <si>
    <t>Maand 10</t>
  </si>
  <si>
    <t>Maand 11</t>
  </si>
  <si>
    <t>Maand 12</t>
  </si>
  <si>
    <t xml:space="preserve">Wat is de vraagprijs van jouw product, dienst of uurtarief?  </t>
  </si>
  <si>
    <t>Selecteer:</t>
  </si>
  <si>
    <t>Totaal</t>
  </si>
  <si>
    <t>Effectieve rente - voor APR</t>
  </si>
  <si>
    <t>totaal</t>
  </si>
  <si>
    <t>Klik hier om VRAGENLIJST in te vullen</t>
  </si>
  <si>
    <t>Startersaftrek</t>
  </si>
  <si>
    <t>Meewerkaftrek</t>
  </si>
  <si>
    <t>English</t>
  </si>
  <si>
    <t>Espanol</t>
  </si>
  <si>
    <t>Papiamento</t>
  </si>
  <si>
    <t>Intro</t>
  </si>
  <si>
    <t>Introducción</t>
  </si>
  <si>
    <t>Introduccion</t>
  </si>
  <si>
    <t>Financial plan</t>
  </si>
  <si>
    <t>Plan Financiero</t>
  </si>
  <si>
    <t>PLEASE NOTE: Before you continue, the file must be stored on your computer. You do this by selecting File -&gt; Save As, or using F12.</t>
  </si>
  <si>
    <t xml:space="preserve">Nota: Antes de seguir, guardar el archivo en tu computadora. Esto se hace seleccionando el Archivo -&gt; Guardar como, o F12.
</t>
  </si>
  <si>
    <t>Paga tino: Prome bo sigui e file mester wordo warda riba bo computer. Esaki bo ta haci cu File -&gt; Warda como, of  cu F12.</t>
  </si>
  <si>
    <t>Introduction</t>
  </si>
  <si>
    <t>A financial plan is a very important part of the business plan, especially when you want to apply for a loan. The financial plan will give you a picture of the financial expectations of your future company. Click on the budgets below to view them.</t>
  </si>
  <si>
    <t xml:space="preserve">Elaborar un plan financiero es una parte importante de tu negocio, especialmente si deseas solicitar financiación. Un plan financiero completo deberá incluir al menos los siguientes presupuestos. Hacer clic en los presupuestos para verlos.
   </t>
  </si>
  <si>
    <t>Traha un plan financiero ta un parti importante di e plan di negoshi, sigur si bo kier aplica pa un fiansa. Un plan financiero completo ta existi di e presupuestonan akibou. Primi riba e presupuestonan pa habri nan.</t>
  </si>
  <si>
    <t xml:space="preserve">    Presupuesto de inversión</t>
  </si>
  <si>
    <t xml:space="preserve">    Presupuesto di Inversion</t>
  </si>
  <si>
    <t xml:space="preserve">    Presupuesto de financiación</t>
  </si>
  <si>
    <t xml:space="preserve">    Presupuesto di Financiamento</t>
  </si>
  <si>
    <t xml:space="preserve">    Presupuesto de funcionamiento</t>
  </si>
  <si>
    <t xml:space="preserve">    Impuesto di Operacion</t>
  </si>
  <si>
    <t xml:space="preserve">    Presupuesto de liquidez</t>
  </si>
  <si>
    <t xml:space="preserve">    Impuesto di likides</t>
  </si>
  <si>
    <t>How to make your financial plan?</t>
  </si>
  <si>
    <t>¿Como completarlo?</t>
  </si>
  <si>
    <t>Con pa yena nan?</t>
  </si>
  <si>
    <t>Este formato financiero te ayuda a crear estas previsiones.</t>
  </si>
  <si>
    <t>E formato financiero akí ta yuda bo formula e pronostico aki.</t>
  </si>
  <si>
    <t>La preparación de este plan financiero se hace respondiendo a las preguntas formuladas en  la hoja CUESTIONARIO.</t>
  </si>
  <si>
    <t>Bo ta traha e formulacion financiero aki dor di contesta e preguntanan cu bo ta haya riba e tab di e pagina CUESTIONARIO.</t>
  </si>
  <si>
    <t>For most questions you fill in an amount, for other questions you either put in a number or select an option from a pull-down menu.</t>
  </si>
  <si>
    <t>Con la mayoría de las preguntas hay que introducir una cantidad, en otras preguntas hay que seleccionar un número o elemento de una lista.</t>
  </si>
  <si>
    <t>Na mayoria pregunta bo mester yena un montante, na e otro preguntanan bo tin cu selecta un cifra o un parti di un lista.</t>
  </si>
  <si>
    <t>By answering the questions on this page corresponding fields on the other worksheets will be filled in automatically and a financial report will be generated.</t>
  </si>
  <si>
    <t>Al responder el cuestionario, los estados financieros se completan automáticamente y se calculan.</t>
  </si>
  <si>
    <t>Dor di yena e cuestionario, e resumennan financiero ta haci yena y calcula automaticamente.</t>
  </si>
  <si>
    <t>These financial statements can be found on the blue worksheets which cannot be filled in or altered manually. If you wish to make a change there, you will have to change the answer to the corresponding question in the questionnaire!</t>
  </si>
  <si>
    <t>Estas declaraciones se pueden encontrar en los separadores de color azul. Estos separadores no son para completar o cambiar. ¡Si deseas hacer un cambio se hace cambiando la respuesta a la pregunta en el cuestionario!</t>
  </si>
  <si>
    <t>E resumennan akí bo por haya riba e tab di paginanan blou. E tab di e paginanan akí no por yena ni cambia nan. Si bo kier haci cambio bo ta haci esaki dor di cambia e contesta riba e pregunta den e cuestionario!</t>
  </si>
  <si>
    <t>Imprimir</t>
  </si>
  <si>
    <t>PRINT</t>
  </si>
  <si>
    <t>Se puede imprimir todo el plan financiero en una sola vez seleccionando en la pantalla "imprimir" y seleccionando luego donde dice archivo completo.</t>
  </si>
  <si>
    <t>Bo por print e plan financiero completo den un solo bes ora bo selecta riba bo screen 'print' y selecta 'file di trabou completo'.</t>
  </si>
  <si>
    <t>Financing application</t>
  </si>
  <si>
    <t>Solicitud de financiamiento</t>
  </si>
  <si>
    <t>Aplicacion pa Financiamento</t>
  </si>
  <si>
    <t xml:space="preserve">Si vas elaborar este plan para una solicitud de financiación para Qredits,
puedes subir tu plan financiero junto con tu plan de negocio a través de: </t>
  </si>
  <si>
    <t>Den caso cu bo ta formula e plan aki pa un aplicacion pa un fiansa cerca Qredits, e ora bo por upload henter e plan financiero hunto cu bo plan di negoshi pa medio di:</t>
  </si>
  <si>
    <t xml:space="preserve">Disclaimer: Qredits ensures that the content of this module is regularly updated or supplemented. Nevertheless, Qredits is not responsible for any inaccuracies or omissions in the content thereof. Qredits is in no way liable for any damages resulting from the use of this module. The user is only allowed to save, print, and copy the module for personal use.  </t>
  </si>
  <si>
    <t xml:space="preserve">Exención de responsabilidad: Qredits asegura de actualizar periódicamente el contenido de este módulo y hacerle añadiduras. Sin embargo Qredits no se hace responsable por inexactitudes u omisiones en el contenido. Qredits de ninguna manera se hace responsable por los daños emanados del uso de este módulo. El usuario sólo se le permite guardar el módulo para su propio uso, impresión y copiado. </t>
  </si>
  <si>
    <t xml:space="preserve">Exension: Qredits ta percura pa regularmente actualisa contenido di e modulo aki o pa agrega informacion. Sinembargo Qredits no ta responsabel pa aspectonan incorecto o incompleto den e contenido ofreci. Qredits na ningun forma ta responsabel pa daño cu por surgi dor di uso di e modulo aki. E usuario ta permiti solamente pa warda, print y copia e modulo pa uso propio.  </t>
  </si>
  <si>
    <t>VRAGENLIJST</t>
  </si>
  <si>
    <t>Questionnaire</t>
  </si>
  <si>
    <t>Preguntas</t>
  </si>
  <si>
    <t>Lista di Pregunta</t>
  </si>
  <si>
    <t>Vragenlijst financieel plan</t>
  </si>
  <si>
    <t>Questionnaire financial plan</t>
  </si>
  <si>
    <t>Preguntas sobre el Plan Financiero</t>
  </si>
  <si>
    <t xml:space="preserve">Lista di Pregunta riba e Plan Financiero    </t>
  </si>
  <si>
    <t>Welke rechtsvorm heeft je bedrijf?</t>
  </si>
  <si>
    <t>What legal form does your company have?</t>
  </si>
  <si>
    <t>How many entrepreneurs are in the company?</t>
  </si>
  <si>
    <t>Antwoord:</t>
  </si>
  <si>
    <t>Answer:</t>
  </si>
  <si>
    <t>select:</t>
  </si>
  <si>
    <t>Wat is de winstverdeling?</t>
  </si>
  <si>
    <t>What is the distribution of profits?</t>
  </si>
  <si>
    <t>is berekend:</t>
  </si>
  <si>
    <t>Privé-inkomsten (maandelijks)</t>
  </si>
  <si>
    <t>Personal income (monthly)</t>
  </si>
  <si>
    <t>Privado: Ingresos (mensual)</t>
  </si>
  <si>
    <t>Priva: entrada (mensual)</t>
  </si>
  <si>
    <t>Hoeveel salaris (uit loondienstverband) krijg je maandelijks op je rekening gestort?</t>
  </si>
  <si>
    <t>How much salary (employment-related) is credited to your account every month?</t>
  </si>
  <si>
    <t>Cantidad de salario (aspecto laboral) que te depositan mensualmente en tu cuenta.</t>
  </si>
  <si>
    <t>Cuanto bo ta haya na salario (di pago mensual di trabou)deposita riba bo cuenta tur luna?</t>
  </si>
  <si>
    <t>Hoeveel van dat salaris ontvang je nog als je jouw bedrijf hebt opgestart?</t>
  </si>
  <si>
    <t>How much of this salary will you still receive once you've started your business?</t>
  </si>
  <si>
    <t>¿Cuanto de ese salario recibes aun despues de iniciar tu negocio?</t>
  </si>
  <si>
    <t>Cuanto di e salario aki bo ta ricibi ainda despues cu bo lanta bo negoshi?</t>
  </si>
  <si>
    <t>Si recibes una asignacion temporal,  ¿cuanto es mensualmente?</t>
  </si>
  <si>
    <t>Si bo ta ricibi un suma di pago (temporalmente), cuanto esaki ta pa luna?</t>
  </si>
  <si>
    <t>¿Cuan larga es la duración de este beneficio despues de empezar con tu negocio?</t>
  </si>
  <si>
    <t>Con largo bo ta sigui haya e pago aki despues cu bo a lanta bo negoshi?</t>
  </si>
  <si>
    <t>How high are the monthly tax allowances/deductibles (for childcare, social housing, healthcare, etc.)</t>
  </si>
  <si>
    <t>¿Tienes una pareja con ingreso (de sueldo o subsidio)?</t>
  </si>
  <si>
    <t>Bo tin un pareha cu tin un entrada (di sueldo o subsidio)?</t>
  </si>
  <si>
    <t>Total combined monthly income at this moment:</t>
  </si>
  <si>
    <t>Total ingreso conjunto en este momento</t>
  </si>
  <si>
    <t>Total entrada pa luna na e momentonan aki:</t>
  </si>
  <si>
    <t>Total combined monthly income once you've started up your business:</t>
  </si>
  <si>
    <t>Total ingreso mensual cuando tu negocio es iniciado</t>
  </si>
  <si>
    <t>Total  entrada pa luna hunto ora bo lanta bo negoshi:</t>
  </si>
  <si>
    <t>Privé-uitgaven (maandelijks)</t>
  </si>
  <si>
    <t>Personal expenses (monthly)</t>
  </si>
  <si>
    <t>Privado: egresos (mensual)</t>
  </si>
  <si>
    <t>Priva: gastonan (mensual)</t>
  </si>
  <si>
    <t>How much are your personal expenses every month?</t>
  </si>
  <si>
    <t>¿Cuanto gastas mensualmente privadamente?</t>
  </si>
  <si>
    <t>Kico bo gastonan personal ta?</t>
  </si>
  <si>
    <t>Huur woonhuis</t>
  </si>
  <si>
    <t>Rent for the residence</t>
  </si>
  <si>
    <t>Alquiler vivienda</t>
  </si>
  <si>
    <t>Huur cas</t>
  </si>
  <si>
    <t>Aflossing en rente hypotheek (netto)</t>
  </si>
  <si>
    <t>Repayment and interest on mortgage (net)</t>
  </si>
  <si>
    <t>Pago e interés (hipoteca)</t>
  </si>
  <si>
    <t>Pago di interes riba hipoteca (netto)</t>
  </si>
  <si>
    <t>Gas, water en elektriciteit</t>
  </si>
  <si>
    <t>Water, gas and electricity</t>
  </si>
  <si>
    <t>Gas, agua y electricidad</t>
  </si>
  <si>
    <t>Gas, awa y coriente</t>
  </si>
  <si>
    <t>Duurzame consumptiegoederen</t>
  </si>
  <si>
    <t>Consumer durables</t>
  </si>
  <si>
    <t>Bienes de consumo duraderos</t>
  </si>
  <si>
    <t>Mercancia di consumo duradero</t>
  </si>
  <si>
    <t>Ziektekostenverzekering</t>
  </si>
  <si>
    <t>Health insurance</t>
  </si>
  <si>
    <t>Seguro de salud</t>
  </si>
  <si>
    <t>AZV</t>
  </si>
  <si>
    <t>Other insurance (contents, liability etc.)</t>
  </si>
  <si>
    <t>Otros seguros (mobiliario, seguro de responsabilidad, etc)</t>
  </si>
  <si>
    <t>Demas seguro (mobilario, Responsabilidad Civil, etc)</t>
  </si>
  <si>
    <t>Transport (fuel, maintenance, season tickets)</t>
  </si>
  <si>
    <t>Transporte (gasolina, mantenimiento, suscripción)</t>
  </si>
  <si>
    <t>Transporte(gasolin, mantencion, abonnement)</t>
  </si>
  <si>
    <t>Huishoudelijke uitgaven (voeding/kleding/sport)</t>
  </si>
  <si>
    <t>Household expenses (food / clothing / sports)</t>
  </si>
  <si>
    <t>Gastos de funcionamiento (alimentacion, ropa, deporte)</t>
  </si>
  <si>
    <t>Gastonan di cas (cuminda/vestuario/deporte)</t>
  </si>
  <si>
    <t>Vakantie en recreatie</t>
  </si>
  <si>
    <t>Holiday and recreation</t>
  </si>
  <si>
    <t>Vacaciones  y recreacion</t>
  </si>
  <si>
    <t>Vacansi y recreacion</t>
  </si>
  <si>
    <t>Opleiding, studiekosten en opvang kinderen</t>
  </si>
  <si>
    <t>Education, study costs and care of children</t>
  </si>
  <si>
    <t>Formación gastos de estudio, y atención niños</t>
  </si>
  <si>
    <t>Estudio, gastonan di scol y cuido traimerdia</t>
  </si>
  <si>
    <t>Repayment and interest on personal loan (no mortgage)</t>
  </si>
  <si>
    <t>Pago e interés préstamo personal (no hipoteca)</t>
  </si>
  <si>
    <t>Pago y interes fiansa personal (no hipoteca)</t>
  </si>
  <si>
    <t>Overige privé-uitgaven</t>
  </si>
  <si>
    <t>Other personal expenses</t>
  </si>
  <si>
    <t>Demás egresos privados</t>
  </si>
  <si>
    <t>Demas gasto personal</t>
  </si>
  <si>
    <t>Dit bedrag kan je maandelijks nog sparen voordat je met je bedrijf gaat starten:</t>
  </si>
  <si>
    <t>You can still save this amount each month before you start your business:</t>
  </si>
  <si>
    <t>Esta suma puedes aun ahorrar antes de empezar con tu negocio:</t>
  </si>
  <si>
    <t>E suma aki lo bo por spar prome bo lanta bo negoshi:</t>
  </si>
  <si>
    <t>Dit bedrag moet je maandelijks uit je onderneming halen als je bent gestart:</t>
  </si>
  <si>
    <t>This is the amount you will take out of your company each month once you've started:</t>
  </si>
  <si>
    <t>Esta suma tienes que sacar mensualmente de tu empresa, cuando hayas empezado:</t>
  </si>
  <si>
    <t>E suma aki bo mester saca tur luna di bo negoshi despues cu bo start:</t>
  </si>
  <si>
    <t>Privé: Eigen geld, bezittingen en schulden</t>
  </si>
  <si>
    <t>Private: Own money, assets and debts</t>
  </si>
  <si>
    <t>Privado: Dinero propio, propiedades y deudas</t>
  </si>
  <si>
    <t>Priva: capital propio, propiedad y debe</t>
  </si>
  <si>
    <t>Heb je een koopwoning?</t>
  </si>
  <si>
    <t>Do you own your house?</t>
  </si>
  <si>
    <t>¿Tienes una vivienda en alquiler?</t>
  </si>
  <si>
    <t>Bo a cumpra cas?</t>
  </si>
  <si>
    <t>What is the WOZ valuation of the house (for tax purposes)?</t>
  </si>
  <si>
    <t>¿Cual es el valor WOZ (tasacion bienes inmuebles) de tu vivienda?</t>
  </si>
  <si>
    <t>Kico ta e balor di mercado di bo cas?</t>
  </si>
  <si>
    <t>¿A cuanto asciende tu hipoteca?</t>
  </si>
  <si>
    <t>Cuanto bo hipoteca ta?</t>
  </si>
  <si>
    <t>Als je (naast je hypotheek) nog andere schulden hebt, hoe hoog zijn deze schulden?</t>
  </si>
  <si>
    <t>If you have any other debts (in addition to your mortgage), how much are these debts?</t>
  </si>
  <si>
    <t>¿Tienes mas deudas? ¿Que tan altas son estas deudas?</t>
  </si>
  <si>
    <t>Bo tin otro debe? Cuanto e debenan aki ta?</t>
  </si>
  <si>
    <t xml:space="preserve">Hoeveel spaargeld heb je op dit moment? </t>
  </si>
  <si>
    <t xml:space="preserve">How much do you currently have in savings? </t>
  </si>
  <si>
    <t>¿Cuanto dinero tienes ahorrado en este momento?</t>
  </si>
  <si>
    <t xml:space="preserve">Cuanto capital bo tin gespar actualmente? </t>
  </si>
  <si>
    <t>Welk bedrag heb je gespaard voor de start van jouw bedrijf?</t>
  </si>
  <si>
    <t>What amount will you have saved up before you start your business?</t>
  </si>
  <si>
    <t>¿Qué cantidad ahorraste para comenzar tu negocio?</t>
  </si>
  <si>
    <t>Cuanto bo a spar pa cuminsa cu bo negoshi nobo?</t>
  </si>
  <si>
    <t>Als je nog ander vermogen hebt, zoals aandelen of vastgoed, wat is de waarde hiervan?</t>
  </si>
  <si>
    <t>If you have any other assets, such as stocks or real estate, what is the value of these assets?</t>
  </si>
  <si>
    <t>¿Tienes otros activos, como acciones o bienes raices?</t>
  </si>
  <si>
    <t>Bo tin otro capital, manera accion (shares) of propiedad?</t>
  </si>
  <si>
    <t>Investeringen (voor langere periode)</t>
  </si>
  <si>
    <t>Investments (on the longer term)</t>
  </si>
  <si>
    <t>Inversiones (a largo plazo)</t>
  </si>
  <si>
    <t>Inversionnan (pa periodo mas largo)</t>
  </si>
  <si>
    <t xml:space="preserve">Wat heb je nodig om te kunnen starten met je bedrijf?  </t>
  </si>
  <si>
    <t xml:space="preserve">What do you need to start your company?  </t>
  </si>
  <si>
    <t>¿Que necesitas para poder empezar con tu negocio?</t>
  </si>
  <si>
    <t xml:space="preserve">Kico bo mester ainda pa lanta bo negoshi?  </t>
  </si>
  <si>
    <t>Aankoop onroerend goed</t>
  </si>
  <si>
    <t>Buying estate</t>
  </si>
  <si>
    <t>Verbouwing</t>
  </si>
  <si>
    <t>Renovation</t>
  </si>
  <si>
    <t>Construcción</t>
  </si>
  <si>
    <t>Drecha edificio</t>
  </si>
  <si>
    <t>Inventaris</t>
  </si>
  <si>
    <t>Inventory</t>
  </si>
  <si>
    <t>Inventario</t>
  </si>
  <si>
    <t>Maquinaria</t>
  </si>
  <si>
    <t>Mashin</t>
  </si>
  <si>
    <t>Computer en/of software</t>
  </si>
  <si>
    <t>Computer and/or software</t>
  </si>
  <si>
    <t>Computadora y/o software</t>
  </si>
  <si>
    <t>Computer y/of software</t>
  </si>
  <si>
    <t>Transportmiddel</t>
  </si>
  <si>
    <t>Medio de transporte</t>
  </si>
  <si>
    <t>Medio di transporte</t>
  </si>
  <si>
    <t>Startvoorraad product 1</t>
  </si>
  <si>
    <t>Start-up stock product 1</t>
  </si>
  <si>
    <t>Stock para empezar</t>
  </si>
  <si>
    <t>Stock pa start cu ne</t>
  </si>
  <si>
    <t>Startvoorraad product 2</t>
  </si>
  <si>
    <t>Start-up stock product 2</t>
  </si>
  <si>
    <t>Huurgarantie</t>
  </si>
  <si>
    <t>Rental guarantee</t>
  </si>
  <si>
    <t>Garantía de alquiler</t>
  </si>
  <si>
    <t>Borg pa huur</t>
  </si>
  <si>
    <t>Franchisefee</t>
  </si>
  <si>
    <t>Franchise fee</t>
  </si>
  <si>
    <t>Cuota de franquicia</t>
  </si>
  <si>
    <t>Pago di Franchise</t>
  </si>
  <si>
    <t>Goodwill</t>
  </si>
  <si>
    <t>Activo intangible</t>
  </si>
  <si>
    <t>Promotiekosten</t>
  </si>
  <si>
    <t>Gastos de promocion</t>
  </si>
  <si>
    <t>Gastonan di Promocion</t>
  </si>
  <si>
    <t>BTW on purchasing / costs</t>
  </si>
  <si>
    <t>BTW relacionado con inversiones</t>
  </si>
  <si>
    <t>BTW riba inversion</t>
  </si>
  <si>
    <t>Overbrugging, aanloopkosten en overig/onvoorzien</t>
  </si>
  <si>
    <t>Other / unforeseen</t>
  </si>
  <si>
    <t>Costos adquisicion, costos puesto en marcha, imprevisto</t>
  </si>
  <si>
    <t>Provision, gastonan inicial y demas gasto/imprevisto</t>
  </si>
  <si>
    <t>Financieringen</t>
  </si>
  <si>
    <t>Financing</t>
  </si>
  <si>
    <t>Financiamientos</t>
  </si>
  <si>
    <t>Financiamento</t>
  </si>
  <si>
    <t>Hoeveel (spaar)geld ga je zelf inbrengen?</t>
  </si>
  <si>
    <t>How much of your own money (savings) will you invest?</t>
  </si>
  <si>
    <t>¿Cuanto dinero (ahorrado) aportaras tu mismo?</t>
  </si>
  <si>
    <t>Ki capital (gespar) bo mes ta bay hinca aden?</t>
  </si>
  <si>
    <t>Hoeveel geld heb je geleend en/of ga je lenen bij familie/bekenden?</t>
  </si>
  <si>
    <t>How much money have you borrowed and/or will you borrow from family/friends?</t>
  </si>
  <si>
    <t>¿Cuanto dinero has prestado y/o vas a pedir prestado a familia/amigos?</t>
  </si>
  <si>
    <t>Cuanto placa bo a fia y/o ta bay fia cerca famia/conocinan?</t>
  </si>
  <si>
    <t>Cuando dinero llega a traves de otras fuentes de financiamiento</t>
  </si>
  <si>
    <t xml:space="preserve">Cuanto placa ta bin aden pa medio di otro fuentenan financiero? </t>
  </si>
  <si>
    <t>Maandelijkse indirecte kosten</t>
  </si>
  <si>
    <t>Monthly indirect costs</t>
  </si>
  <si>
    <t>Gastos indirectos mensuales</t>
  </si>
  <si>
    <t>Gastonan mensual indirecto</t>
  </si>
  <si>
    <t>Hoe hoog zijn de maandelijkse kosten?</t>
  </si>
  <si>
    <t>What is the extent of the monthly costs?</t>
  </si>
  <si>
    <t>¿Cuan altos son los gastos mensuales?</t>
  </si>
  <si>
    <t>Cuanto bo gastonan mensual ta?</t>
  </si>
  <si>
    <t>Personeel (let op: bruto personeelslasten, dus inclusief premies en belastingen)</t>
  </si>
  <si>
    <t>Personnel (please note: gross personnel costs, meaning including premiums and taxes)</t>
  </si>
  <si>
    <t>Personal (nota: los gastos brutos de personal, incluyendo tanto las contribuciones e impuestos)</t>
  </si>
  <si>
    <t>Personal (paga tino: gastonan bruto di personal, incluso primanan y impuesto)</t>
  </si>
  <si>
    <t>Huisvesting (huur, schoonmaak, onderhoud)</t>
  </si>
  <si>
    <t>Accommodation (rent, cleaning, maintenance)</t>
  </si>
  <si>
    <t>Vivienda, (alquiler, limpieza, mantenimiento)</t>
  </si>
  <si>
    <t>Vivienda (huur, limpiesa, mantencion)</t>
  </si>
  <si>
    <t>Vervoer/verblijf (brandstof, onderhoud, parkeren, verzekeringen)</t>
  </si>
  <si>
    <t>Transport/accommodation (fuel, maintenance, parking, insurance)</t>
  </si>
  <si>
    <t>Transporte/estadia (combustible, mantenimiento, estacionamiento, seguro)</t>
  </si>
  <si>
    <t>Transportacion/parking (combustibel, mantencion, staciona, seguro)</t>
  </si>
  <si>
    <t>Promocion/publicidad (mantenimiento del sitio web, nombre de dominio, google adwords</t>
  </si>
  <si>
    <t>Promocion/propaganda (mantencion website, nomber di dominio, google adwords)</t>
  </si>
  <si>
    <t>Overige bedrijfskosten:</t>
  </si>
  <si>
    <t>Other operating costs:</t>
  </si>
  <si>
    <t>Demas gastos empresariales:</t>
  </si>
  <si>
    <t>Demas gastonan empresarial:</t>
  </si>
  <si>
    <t xml:space="preserve">  - Seguros (responsabilidad, discapacidad, mobiliario)</t>
  </si>
  <si>
    <t xml:space="preserve">  - Seguro (responsabilidad, medico / SVB, contenido)</t>
  </si>
  <si>
    <t xml:space="preserve">  - Gastos de administración, (contador, consultor, software de contabilidad)</t>
  </si>
  <si>
    <t xml:space="preserve">  - Gastonan administrativo (accountant, consehero, pakete di contabilidad)</t>
  </si>
  <si>
    <t xml:space="preserve">  - Suscripciones  (telefono, internet, publicaciones comerciales, asociaciones comerciales, Camara de Comercio, contable, consultor</t>
  </si>
  <si>
    <t xml:space="preserve">  - Abonnement (telefon, internet, revistanan profesional, asociacion ramo di negoshi, CdC, accountant, consehero)</t>
  </si>
  <si>
    <t xml:space="preserve">  - Útiles de oficina, (papel de carta, cartuchos, estampillas)</t>
  </si>
  <si>
    <t xml:space="preserve">  - Articulonan pa Oficina (papel (pa carta-, ink pa printer, stampia)</t>
  </si>
  <si>
    <t xml:space="preserve">  - Demás</t>
  </si>
  <si>
    <t xml:space="preserve">  - Demas</t>
  </si>
  <si>
    <t>Maandelijkse directe kosten</t>
  </si>
  <si>
    <t>Monthly direct costs</t>
  </si>
  <si>
    <t>Gastos mensuales director</t>
  </si>
  <si>
    <t>Gastonan mensual directo</t>
  </si>
  <si>
    <t>Koop je producten in die je, eventueel na bewerking, weer verkoopt?</t>
  </si>
  <si>
    <t>Do you purchase products which you resell, possibly after processing?</t>
  </si>
  <si>
    <t>¿Compras productos para venderlos despues de una posible elaboracion?</t>
  </si>
  <si>
    <t>Cumpra bo productonan, cu eventualmente despues di procesa, bo ta bolbe bende?</t>
  </si>
  <si>
    <t>Inkomsten</t>
  </si>
  <si>
    <t>Income</t>
  </si>
  <si>
    <t>Ingresos</t>
  </si>
  <si>
    <t>Entrada</t>
  </si>
  <si>
    <t>What BTW rate applies to the sales price?</t>
  </si>
  <si>
    <t>¿Cual tipo de BTW se aplica al precio de venta?</t>
  </si>
  <si>
    <t>Cua tarifa di BTW ta aplicabel riba e prijs di benta?</t>
  </si>
  <si>
    <t>Wanneer betalen je klanten in het algemeen?</t>
  </si>
  <si>
    <t>In general, when do customers pay you?</t>
  </si>
  <si>
    <t>¿Cuando pagan tus clientes por lo general?</t>
  </si>
  <si>
    <t>Con (ki tempo) bo clientenan ta paga normalmente?</t>
  </si>
  <si>
    <t>Omzetprognose</t>
  </si>
  <si>
    <t>Sales forecast</t>
  </si>
  <si>
    <t>Prevision de ventas</t>
  </si>
  <si>
    <t>Prognosis di Ingreso</t>
  </si>
  <si>
    <t>¿Que cantidad de ingreso esperas lograr cada mes?</t>
  </si>
  <si>
    <t>Cuanto volumen di benta bo ta spera di realisa tur luna?</t>
  </si>
  <si>
    <t>Month 1</t>
  </si>
  <si>
    <t>Mes 1</t>
  </si>
  <si>
    <t>Luna 1</t>
  </si>
  <si>
    <t>Month 2</t>
  </si>
  <si>
    <t>Mes 2</t>
  </si>
  <si>
    <t>Luna 2</t>
  </si>
  <si>
    <t>Month 3</t>
  </si>
  <si>
    <t>Mes 3</t>
  </si>
  <si>
    <t>Luna 3</t>
  </si>
  <si>
    <t>Month 4</t>
  </si>
  <si>
    <t>Mes 4</t>
  </si>
  <si>
    <t>Luna 4</t>
  </si>
  <si>
    <t>Month 5</t>
  </si>
  <si>
    <t>Mes 5</t>
  </si>
  <si>
    <t>Luna 5</t>
  </si>
  <si>
    <t>Month 6</t>
  </si>
  <si>
    <t>Mes 6</t>
  </si>
  <si>
    <t>Luna 6</t>
  </si>
  <si>
    <t>Month 7</t>
  </si>
  <si>
    <t>Mes 7</t>
  </si>
  <si>
    <t>Luna 7</t>
  </si>
  <si>
    <t>Month 8</t>
  </si>
  <si>
    <t>Mes 8</t>
  </si>
  <si>
    <t>Luna 8</t>
  </si>
  <si>
    <t>Month 9</t>
  </si>
  <si>
    <t>Mes 9</t>
  </si>
  <si>
    <t>Luna 9</t>
  </si>
  <si>
    <t>Month 10</t>
  </si>
  <si>
    <t>Mes 10</t>
  </si>
  <si>
    <t>Luna 10</t>
  </si>
  <si>
    <t>Month 11</t>
  </si>
  <si>
    <t>Mes 11</t>
  </si>
  <si>
    <t>Luna 11</t>
  </si>
  <si>
    <t>Month 12</t>
  </si>
  <si>
    <t>Mes 12</t>
  </si>
  <si>
    <t>Luna 12</t>
  </si>
  <si>
    <t>Mag je ter vermindering van je belastbaar inkomen de onderstaande aftrekposten opvoeren?</t>
  </si>
  <si>
    <t>Are you able to claim the following deductions from your taxable income?</t>
  </si>
  <si>
    <t>Zelfstandigenaftrek</t>
  </si>
  <si>
    <t>MKB-Winstvrijstelling</t>
  </si>
  <si>
    <t>Investeringsaftrek</t>
  </si>
  <si>
    <t>Oudedagsreserve</t>
  </si>
  <si>
    <t>Algemene heffingskorting</t>
  </si>
  <si>
    <t>Arbeidskorting</t>
  </si>
  <si>
    <t>selecteer:</t>
  </si>
  <si>
    <t>selecta:</t>
  </si>
  <si>
    <t>llenar suma:</t>
  </si>
  <si>
    <t>yena e suma:</t>
  </si>
  <si>
    <t>se calcula:</t>
  </si>
  <si>
    <t>calcula:</t>
  </si>
  <si>
    <t>Investering &amp; Financiering</t>
  </si>
  <si>
    <t>Investment and Financing</t>
  </si>
  <si>
    <t>Inversión y financiación</t>
  </si>
  <si>
    <t>Inversion y Financiamento</t>
  </si>
  <si>
    <t xml:space="preserve">Investerings- &amp; Financieringsbegroting </t>
  </si>
  <si>
    <t xml:space="preserve">Investment and Financing budget </t>
  </si>
  <si>
    <t>Presupuesto de inversión y financiación</t>
  </si>
  <si>
    <t>Presupuesto di Inversion y Financiamento</t>
  </si>
  <si>
    <t>Fixed assets (excluding BTW)</t>
  </si>
  <si>
    <t>Activos fijos (sin BTW)</t>
  </si>
  <si>
    <t>Activa Fiho (excl. BTW)</t>
  </si>
  <si>
    <t xml:space="preserve">Verbouwing </t>
  </si>
  <si>
    <t xml:space="preserve">Renovation </t>
  </si>
  <si>
    <t>Reconstrucción</t>
  </si>
  <si>
    <t>Reconstruccion</t>
  </si>
  <si>
    <t>Inventaris en inrichting</t>
  </si>
  <si>
    <t>Inventory and fixtures</t>
  </si>
  <si>
    <t>Muebles y accesorios</t>
  </si>
  <si>
    <t>Inventario y mobilario</t>
  </si>
  <si>
    <t>Computer en software</t>
  </si>
  <si>
    <t>Computer and software</t>
  </si>
  <si>
    <t>Computadoras y software</t>
  </si>
  <si>
    <t>Computer y software</t>
  </si>
  <si>
    <t>Medio di transportacion</t>
  </si>
  <si>
    <t>Goodwill/Franchisefee/Huurgarantie</t>
  </si>
  <si>
    <t>Goodwill / Franchise Fee / Rental Guarantee</t>
  </si>
  <si>
    <t>Fondo comercial, monto franquicia, garantia alquiler</t>
  </si>
  <si>
    <t>Goodwill/Fondo di Franchise/Borg di huur</t>
  </si>
  <si>
    <t>Current assets (excluding BTW)</t>
  </si>
  <si>
    <t>Activos corrientes, (sin BTW)</t>
  </si>
  <si>
    <t>Startvoorraad</t>
  </si>
  <si>
    <t>Start-up stock</t>
  </si>
  <si>
    <t>Stock de arranque</t>
  </si>
  <si>
    <t>Stock inicial</t>
  </si>
  <si>
    <t>Promotion and start-up costs</t>
  </si>
  <si>
    <t>Promoción, gastos iniciales</t>
  </si>
  <si>
    <t>Promocion-, gastonan inicial</t>
  </si>
  <si>
    <t>Kas (reserve)</t>
  </si>
  <si>
    <t>Cash (reserve)</t>
  </si>
  <si>
    <t>Reserva de efectivo</t>
  </si>
  <si>
    <t>Caha (reserva)</t>
  </si>
  <si>
    <t>Totaal investeringsbedrag</t>
  </si>
  <si>
    <t>Total investment amount</t>
  </si>
  <si>
    <t>Monto total de inversion</t>
  </si>
  <si>
    <t>Total suma di inversion</t>
  </si>
  <si>
    <t>In bezit</t>
  </si>
  <si>
    <t>Owned</t>
  </si>
  <si>
    <t>En posesion</t>
  </si>
  <si>
    <t>Ya Presente</t>
  </si>
  <si>
    <t>Investeren</t>
  </si>
  <si>
    <t>To be invested</t>
  </si>
  <si>
    <t>Invertir</t>
  </si>
  <si>
    <t>Inversion</t>
  </si>
  <si>
    <t>Total</t>
  </si>
  <si>
    <t>Eigen inbreng</t>
  </si>
  <si>
    <t>Own contribution</t>
  </si>
  <si>
    <t>Aporte propio</t>
  </si>
  <si>
    <t>Capital propio</t>
  </si>
  <si>
    <t>Activa in bezit</t>
  </si>
  <si>
    <t>Assets held</t>
  </si>
  <si>
    <t>Activos en posesión</t>
  </si>
  <si>
    <t>Activa den posesion</t>
  </si>
  <si>
    <t>Contante inbreng (bv. spaargeld)</t>
  </si>
  <si>
    <t>Cash contribution (e.g. savings)</t>
  </si>
  <si>
    <t>Aporte en efectivo (p.e. ahorros)</t>
  </si>
  <si>
    <t>Aporte cash (pe. Placa gespar)</t>
  </si>
  <si>
    <t>Achtergestelde leningen (familie/vrienden)</t>
  </si>
  <si>
    <t>Subordinated loans (family / friends)</t>
  </si>
  <si>
    <t>Préstamos subordinados, familia/amigos</t>
  </si>
  <si>
    <t>Fiansa subordina (famia/amigo)</t>
  </si>
  <si>
    <t>Totaal eigen vermogen</t>
  </si>
  <si>
    <t>Total equity</t>
  </si>
  <si>
    <t>Patrimonio total</t>
  </si>
  <si>
    <t>Total capital propio</t>
  </si>
  <si>
    <t>Financiering</t>
  </si>
  <si>
    <t>Financiamiento</t>
  </si>
  <si>
    <t>Financiering overig</t>
  </si>
  <si>
    <t>Other funding</t>
  </si>
  <si>
    <t>Demás financiamiento</t>
  </si>
  <si>
    <t xml:space="preserve">Demas financiamento </t>
  </si>
  <si>
    <t>Financiering kredietverstrekker</t>
  </si>
  <si>
    <t>Financing by lender</t>
  </si>
  <si>
    <t>Financiación prestamista</t>
  </si>
  <si>
    <t>Financiamento creditor</t>
  </si>
  <si>
    <t>Totaal vreemd vermogen</t>
  </si>
  <si>
    <t>Total loan capital</t>
  </si>
  <si>
    <t>La deuda total</t>
  </si>
  <si>
    <t>Total capital di fiansa</t>
  </si>
  <si>
    <t>Lening Qredits</t>
  </si>
  <si>
    <t>Loan Qredits</t>
  </si>
  <si>
    <t>Préstamos Qredits</t>
  </si>
  <si>
    <t>Fiansa di Qredits</t>
  </si>
  <si>
    <t>Vul in in hoeveel jaar je de lening wilt terugbetalen:</t>
  </si>
  <si>
    <t>Enter the number of years in which you would like to repay the loan</t>
  </si>
  <si>
    <t>Anota en cuantos años quieres pagar el prestamo:</t>
  </si>
  <si>
    <t>Yena den cuanto aña bo kier paga e fiansa bek:</t>
  </si>
  <si>
    <t>Vul in na hoeveel maanden je wilt beginnen met aflossen?</t>
  </si>
  <si>
    <t>Enter after how many months you would like to start paying off the loan</t>
  </si>
  <si>
    <t>Anota en cuantos meses quieres empezar a pagar:</t>
  </si>
  <si>
    <t>Yena despues di cuanto luna bo kier cuminsa paga riba e fiansa?</t>
  </si>
  <si>
    <t>Kies de manier van aflossen:</t>
  </si>
  <si>
    <t>Choose the amortization profile:</t>
  </si>
  <si>
    <t>Select:</t>
  </si>
  <si>
    <t>Selecciona:</t>
  </si>
  <si>
    <t xml:space="preserve">  jaren</t>
  </si>
  <si>
    <t xml:space="preserve">  years</t>
  </si>
  <si>
    <t xml:space="preserve">  años</t>
  </si>
  <si>
    <t xml:space="preserve">  aña</t>
  </si>
  <si>
    <t xml:space="preserve">  maanden</t>
  </si>
  <si>
    <t xml:space="preserve">  months</t>
  </si>
  <si>
    <t xml:space="preserve">  meses</t>
  </si>
  <si>
    <t xml:space="preserve">  luna</t>
  </si>
  <si>
    <t>Voorwaarden (indicatie)</t>
  </si>
  <si>
    <t>Conditions (indication)</t>
  </si>
  <si>
    <t>Condiciones (indicacion)</t>
  </si>
  <si>
    <t>Condicionnan (indicacion)</t>
  </si>
  <si>
    <t>Rentepercentage²</t>
  </si>
  <si>
    <t>Interest rate²</t>
  </si>
  <si>
    <t>Tasa de interés²</t>
  </si>
  <si>
    <t>Porcentahedi Interes²</t>
  </si>
  <si>
    <t>Behandelkosten</t>
  </si>
  <si>
    <t>Formalisation fee</t>
  </si>
  <si>
    <t>Gastos de cierre</t>
  </si>
  <si>
    <t>Gasto di contract</t>
  </si>
  <si>
    <t>Effectieve rente²</t>
  </si>
  <si>
    <t>Effective interest rate²</t>
  </si>
  <si>
    <t>Interés efectivo²</t>
  </si>
  <si>
    <t>Interes efectivo²</t>
  </si>
  <si>
    <t>Maandlasten³</t>
  </si>
  <si>
    <t>Monthly costs³</t>
  </si>
  <si>
    <t>Monto a pagar mensualmente³</t>
  </si>
  <si>
    <t>Suma pa paga pa luna³</t>
  </si>
  <si>
    <t>Bedrag annuïteit</t>
  </si>
  <si>
    <t>Redemption and interest amount per month</t>
  </si>
  <si>
    <t>Monto a pagar mensualmente</t>
  </si>
  <si>
    <t>Suma pa paga pa luna</t>
  </si>
  <si>
    <t>² Onder voorbehoud van wijzigingen, kijk voor meer informatie op www.qredits.nl</t>
  </si>
  <si>
    <t>² Subject to change, for more information, visit www.qredits.nl</t>
  </si>
  <si>
    <t>² Sujeto a cambios, para mas informacion, ir a www.qredits.nl</t>
  </si>
  <si>
    <t>² Cu reserva di cambio, pa mas informacion bay riba www.qredits.nl</t>
  </si>
  <si>
    <t>³ Specificatie in 'Qredits maandlasten'</t>
  </si>
  <si>
    <t>³ Specification in 'Qredits monthly costs’</t>
  </si>
  <si>
    <t>³ Especificacion en  'mensualidades Qredits'</t>
  </si>
  <si>
    <t>³ Specificacion den 'Gastonan mensual Qredits'</t>
  </si>
  <si>
    <t>Frequently asked questions!?</t>
  </si>
  <si>
    <t>¿Que es esto?</t>
  </si>
  <si>
    <t>kico esaki ta?</t>
  </si>
  <si>
    <t>Click here to return to the tab page Introduction</t>
  </si>
  <si>
    <t>Clic aqui para llenar cuestionario</t>
  </si>
  <si>
    <t>Liquiditeit</t>
  </si>
  <si>
    <t>Liquid Asset</t>
  </si>
  <si>
    <t>Liquidez</t>
  </si>
  <si>
    <t>Likides</t>
  </si>
  <si>
    <t>Liquiditeitsbegroting</t>
  </si>
  <si>
    <t>Cash flow budget</t>
  </si>
  <si>
    <t>Presupuesto de Liquidez</t>
  </si>
  <si>
    <t>Impuesto di Likides</t>
  </si>
  <si>
    <t>Maand</t>
  </si>
  <si>
    <t>Month</t>
  </si>
  <si>
    <t>Mes</t>
  </si>
  <si>
    <t>Luna</t>
  </si>
  <si>
    <t>Opening kas/bank</t>
  </si>
  <si>
    <t>Opening cash / bank</t>
  </si>
  <si>
    <t>Apertura caja/banco</t>
  </si>
  <si>
    <t>Habri caha/ banco</t>
  </si>
  <si>
    <t>Ontvangsten</t>
  </si>
  <si>
    <t>Revenue</t>
  </si>
  <si>
    <t xml:space="preserve"> Lening Qredits</t>
  </si>
  <si>
    <t xml:space="preserve"> Loan Qredits</t>
  </si>
  <si>
    <t>Préstamo Qredits</t>
  </si>
  <si>
    <t xml:space="preserve"> Fiansa di Qredits</t>
  </si>
  <si>
    <t xml:space="preserve"> Eigen inbreng in contant</t>
  </si>
  <si>
    <t xml:space="preserve"> Own cash contribution</t>
  </si>
  <si>
    <t>Propio aporte en efectivo</t>
  </si>
  <si>
    <t xml:space="preserve"> Propio fondo den efectivo</t>
  </si>
  <si>
    <t xml:space="preserve"> Overige lening(en)</t>
  </si>
  <si>
    <t xml:space="preserve"> Other loan(s)</t>
  </si>
  <si>
    <t>Demás prestamo(s)</t>
  </si>
  <si>
    <t xml:space="preserve"> Otro fiansa(nan)</t>
  </si>
  <si>
    <t xml:space="preserve"> Turnover product 1, excluding BTW</t>
  </si>
  <si>
    <t xml:space="preserve"> Ventas excl. BTW</t>
  </si>
  <si>
    <t xml:space="preserve"> Benta sin BTW</t>
  </si>
  <si>
    <t xml:space="preserve"> Turnover product 2, excluding BTW</t>
  </si>
  <si>
    <t xml:space="preserve"> BTW</t>
  </si>
  <si>
    <t>BTW</t>
  </si>
  <si>
    <t xml:space="preserve"> Turnover, including BTW</t>
  </si>
  <si>
    <t xml:space="preserve"> Ventas incl. BTW</t>
  </si>
  <si>
    <t xml:space="preserve"> Benta incl. BTW</t>
  </si>
  <si>
    <t>Totale ontvangsten</t>
  </si>
  <si>
    <t>Total revenue</t>
  </si>
  <si>
    <t>Total ingresos</t>
  </si>
  <si>
    <t>Entrada total</t>
  </si>
  <si>
    <t>Uitgaven</t>
  </si>
  <si>
    <t>Expenses</t>
  </si>
  <si>
    <t>Egresos</t>
  </si>
  <si>
    <t>Gasto</t>
  </si>
  <si>
    <t xml:space="preserve"> Investering</t>
  </si>
  <si>
    <t xml:space="preserve"> Investment</t>
  </si>
  <si>
    <t xml:space="preserve"> Inversión</t>
  </si>
  <si>
    <t xml:space="preserve"> Inversion</t>
  </si>
  <si>
    <t xml:space="preserve"> Inkoop product 1</t>
  </si>
  <si>
    <t xml:space="preserve"> Purchasing product 1</t>
  </si>
  <si>
    <t xml:space="preserve"> Compras</t>
  </si>
  <si>
    <t xml:space="preserve"> Inkoop product 2</t>
  </si>
  <si>
    <t xml:space="preserve"> Purchasing product 2</t>
  </si>
  <si>
    <t xml:space="preserve"> BTW Purchasing</t>
  </si>
  <si>
    <t xml:space="preserve"> Personeelskosten</t>
  </si>
  <si>
    <t xml:space="preserve"> Personnel costs</t>
  </si>
  <si>
    <t xml:space="preserve"> Gastos de personal</t>
  </si>
  <si>
    <t xml:space="preserve"> Gastonan di Personal</t>
  </si>
  <si>
    <t xml:space="preserve"> Huisvestingskosten</t>
  </si>
  <si>
    <t xml:space="preserve"> Accommodation costs</t>
  </si>
  <si>
    <t xml:space="preserve"> Gastos de vivienda</t>
  </si>
  <si>
    <t xml:space="preserve"> Gastonan di vivienda</t>
  </si>
  <si>
    <t xml:space="preserve"> Vervoer/transportkosten</t>
  </si>
  <si>
    <t xml:space="preserve"> Transportation / transport costs</t>
  </si>
  <si>
    <t xml:space="preserve"> Transporte/gastos transporte</t>
  </si>
  <si>
    <t xml:space="preserve"> Transportacion/gastonan di transportacion</t>
  </si>
  <si>
    <t xml:space="preserve"> Promotiekosten</t>
  </si>
  <si>
    <t xml:space="preserve"> Promotion costs</t>
  </si>
  <si>
    <t xml:space="preserve"> Gastos promoción</t>
  </si>
  <si>
    <t xml:space="preserve"> Gastonan di promocion</t>
  </si>
  <si>
    <t xml:space="preserve"> Overige bedrijfskosten</t>
  </si>
  <si>
    <t xml:space="preserve"> Other operating costs</t>
  </si>
  <si>
    <t xml:space="preserve"> Demás gastos empresariales</t>
  </si>
  <si>
    <t xml:space="preserve"> Demas costo di operacion</t>
  </si>
  <si>
    <t xml:space="preserve"> BTW on investments / costs</t>
  </si>
  <si>
    <t xml:space="preserve"> Compras/gastos BTW</t>
  </si>
  <si>
    <t xml:space="preserve"> BTW compra/costo</t>
  </si>
  <si>
    <t xml:space="preserve"> BTW payment</t>
  </si>
  <si>
    <t xml:space="preserve"> Pago del BTW</t>
  </si>
  <si>
    <t xml:space="preserve"> Pago BTW</t>
  </si>
  <si>
    <t xml:space="preserve"> Rente (excl. Qredits)</t>
  </si>
  <si>
    <t xml:space="preserve"> Interest (excluding Qredits)</t>
  </si>
  <si>
    <t xml:space="preserve"> Interés (excl Qredits)</t>
  </si>
  <si>
    <t xml:space="preserve"> Interes (excl. Qredits)</t>
  </si>
  <si>
    <t xml:space="preserve"> Aflossing (excl. Qredits)</t>
  </si>
  <si>
    <t xml:space="preserve"> Redemption (excluding Qredits)</t>
  </si>
  <si>
    <t xml:space="preserve"> Pago (excl Qredits)</t>
  </si>
  <si>
    <t xml:space="preserve"> Pagonan di cota (excl. Qredits)</t>
  </si>
  <si>
    <t xml:space="preserve"> Rente Qredits</t>
  </si>
  <si>
    <t xml:space="preserve"> Interest Qredits</t>
  </si>
  <si>
    <t xml:space="preserve"> Interés Qredits</t>
  </si>
  <si>
    <t xml:space="preserve"> Interes Qredits</t>
  </si>
  <si>
    <t xml:space="preserve"> Aflossingen Qredits</t>
  </si>
  <si>
    <t xml:space="preserve"> Redemption Qredits</t>
  </si>
  <si>
    <t xml:space="preserve"> Pagos Qredits</t>
  </si>
  <si>
    <t xml:space="preserve"> Pagonan di Cota Qredits</t>
  </si>
  <si>
    <t xml:space="preserve"> Pago Impuesto riba entrada</t>
  </si>
  <si>
    <t>Totale uitgaven</t>
  </si>
  <si>
    <t>Total expenses</t>
  </si>
  <si>
    <t>Total egresos</t>
  </si>
  <si>
    <t>Gastonan Total</t>
  </si>
  <si>
    <t>Kas per maand</t>
  </si>
  <si>
    <t>Cash per month</t>
  </si>
  <si>
    <t>Caja mensual</t>
  </si>
  <si>
    <t>Caha pa luna</t>
  </si>
  <si>
    <t>Eindsaldo</t>
  </si>
  <si>
    <t>Closing balance</t>
  </si>
  <si>
    <t>Saldo final</t>
  </si>
  <si>
    <t>Exploitatie</t>
  </si>
  <si>
    <t>Operating</t>
  </si>
  <si>
    <t>Funcionamiento</t>
  </si>
  <si>
    <t>Operacion</t>
  </si>
  <si>
    <t>Exploitatiebegroting</t>
  </si>
  <si>
    <t>Operating budget</t>
  </si>
  <si>
    <t>Presupuesto de Funcionamiento</t>
  </si>
  <si>
    <t>Presupuesto di Operacion</t>
  </si>
  <si>
    <t xml:space="preserve">Exploitatiebegroting </t>
  </si>
  <si>
    <t xml:space="preserve">Operating budget </t>
  </si>
  <si>
    <t>Presupuesto de funcionamiento</t>
  </si>
  <si>
    <t>Net turnover product 1</t>
  </si>
  <si>
    <t>Venta netas</t>
  </si>
  <si>
    <t>Benta Netto</t>
  </si>
  <si>
    <t>Inkoopwaarde</t>
  </si>
  <si>
    <t>Purchase value</t>
  </si>
  <si>
    <t>Valor de compra</t>
  </si>
  <si>
    <t>Balor di compra</t>
  </si>
  <si>
    <t>Gross profits</t>
  </si>
  <si>
    <t>Beneficio bruto</t>
  </si>
  <si>
    <t>Ganashi Bruto</t>
  </si>
  <si>
    <t>Brutowinstmarge</t>
  </si>
  <si>
    <t>Gross profit margin</t>
  </si>
  <si>
    <t>Margen de beneficio bruto</t>
  </si>
  <si>
    <t>Margen Ganashi Bruto</t>
  </si>
  <si>
    <t>Net turnover product 2</t>
  </si>
  <si>
    <t>Totaal omzet</t>
  </si>
  <si>
    <t>Net turnover total</t>
  </si>
  <si>
    <t>Purchase value total</t>
  </si>
  <si>
    <t>Gross profits total</t>
  </si>
  <si>
    <t>Personeelskosten</t>
  </si>
  <si>
    <t>Personnel costs</t>
  </si>
  <si>
    <t>Gastos de personal</t>
  </si>
  <si>
    <t>Gastonan di personal</t>
  </si>
  <si>
    <t>Huisvestingskosten</t>
  </si>
  <si>
    <t>Accommodation costs</t>
  </si>
  <si>
    <t>Gastos de alquiler</t>
  </si>
  <si>
    <t>Gastonan di vivienda</t>
  </si>
  <si>
    <t>Vervoer/ transportkosten</t>
  </si>
  <si>
    <t>Transportation / transport costs</t>
  </si>
  <si>
    <t>Transporte/gastos transporte</t>
  </si>
  <si>
    <t>Transportacion/ gastonan di transporte</t>
  </si>
  <si>
    <t>Promotion costs</t>
  </si>
  <si>
    <t>Gastos de promoción</t>
  </si>
  <si>
    <t>Costonan di Promocion</t>
  </si>
  <si>
    <t xml:space="preserve">Overige bedrijfskosten </t>
  </si>
  <si>
    <t xml:space="preserve">Other operating costs </t>
  </si>
  <si>
    <t>Demás gastos empresariales</t>
  </si>
  <si>
    <t xml:space="preserve">Demas costanan empresarial </t>
  </si>
  <si>
    <t>Afschrijvingen</t>
  </si>
  <si>
    <t>Depreciation</t>
  </si>
  <si>
    <t>Dado de baja</t>
  </si>
  <si>
    <t>Devaluacion</t>
  </si>
  <si>
    <t>Total operating costs</t>
  </si>
  <si>
    <t>Total Gastos Empresariales</t>
  </si>
  <si>
    <t>Total Gastonan empresarial</t>
  </si>
  <si>
    <t>Rente Qredits</t>
  </si>
  <si>
    <t>Interest Qredits</t>
  </si>
  <si>
    <t>Interes Qredits</t>
  </si>
  <si>
    <t>Overige rentelasten</t>
  </si>
  <si>
    <t>Other interest charges</t>
  </si>
  <si>
    <t>Otros gastos financieros</t>
  </si>
  <si>
    <t>Demas gasto pa interes</t>
  </si>
  <si>
    <t>Winst uit onderneming</t>
  </si>
  <si>
    <t>Pre tax profit</t>
  </si>
  <si>
    <t>Ganancias de empresa</t>
  </si>
  <si>
    <t>Ganashi di empresa</t>
  </si>
  <si>
    <t>Winstdeel</t>
  </si>
  <si>
    <t>Profit share</t>
  </si>
  <si>
    <t>Aftrekposten</t>
  </si>
  <si>
    <t>Tax deduction</t>
  </si>
  <si>
    <t>Renta gravable</t>
  </si>
  <si>
    <t xml:space="preserve">Entrada Netto </t>
  </si>
  <si>
    <t>Belastbaar inkomen</t>
  </si>
  <si>
    <t>Taxable income</t>
  </si>
  <si>
    <t>Selecciona tariefgroep:</t>
  </si>
  <si>
    <t>Selecta tariefgroep:</t>
  </si>
  <si>
    <t>IB bedrag</t>
  </si>
  <si>
    <t>Income tax amount (payable personally)</t>
  </si>
  <si>
    <t>Suma IB (segun politica internacíonal)</t>
  </si>
  <si>
    <t>Personal withdrawal</t>
  </si>
  <si>
    <t>Retiros privados</t>
  </si>
  <si>
    <t>Deduccion Priva</t>
  </si>
  <si>
    <t>Mutacion equidad</t>
  </si>
  <si>
    <t>Mutatie Eigen Vermogen</t>
  </si>
  <si>
    <t xml:space="preserve">Cash-flow overview  </t>
  </si>
  <si>
    <t xml:space="preserve">Resumen dinero en efectivo  </t>
  </si>
  <si>
    <t>Lista di Cash-flow</t>
  </si>
  <si>
    <t>Winst na belasting</t>
  </si>
  <si>
    <t>Net profit</t>
  </si>
  <si>
    <t>Ganancias de negocio</t>
  </si>
  <si>
    <t>Ganashi for di empresa</t>
  </si>
  <si>
    <t>Beschikbare kasmiddelen</t>
  </si>
  <si>
    <t>Available cash flow</t>
  </si>
  <si>
    <t>Efectivo disponible</t>
  </si>
  <si>
    <t>Fondonan efectivo disponibel</t>
  </si>
  <si>
    <t>Total personal withdrawal</t>
  </si>
  <si>
    <t>Total retiros privados</t>
  </si>
  <si>
    <t>Total deduccion priva</t>
  </si>
  <si>
    <t>Aflossingen</t>
  </si>
  <si>
    <t>Redemption</t>
  </si>
  <si>
    <t>Pagos</t>
  </si>
  <si>
    <t>Pago di cota</t>
  </si>
  <si>
    <t>Beschikbaar voor investeringen</t>
  </si>
  <si>
    <t>Available for investments</t>
  </si>
  <si>
    <t>Disponible para inversiones</t>
  </si>
  <si>
    <t>Disponibel pa Inverti</t>
  </si>
  <si>
    <t>Qredits maandlasten</t>
  </si>
  <si>
    <t>Qredits monthly costs</t>
  </si>
  <si>
    <t>Mensualidades Qredits</t>
  </si>
  <si>
    <t>Qredits gastonan mensual</t>
  </si>
  <si>
    <t>Indicatie op basis van de door u ingevulde investering- en financieringsbegroting</t>
  </si>
  <si>
    <t>Indication based on the investment and financing budget as completed by you</t>
  </si>
  <si>
    <t>Indicación en base a su presupuesto de inversión y financiación completado</t>
  </si>
  <si>
    <t>Indicacion basa riba e presupuesto di inversion y financiamento cu bo a yena</t>
  </si>
  <si>
    <t>Looptijd in jaren</t>
  </si>
  <si>
    <t>Term in years</t>
  </si>
  <si>
    <t>Duración en años</t>
  </si>
  <si>
    <t>Duracion den aña</t>
  </si>
  <si>
    <t>Looptijd in maanden</t>
  </si>
  <si>
    <t>Term in months</t>
  </si>
  <si>
    <t>Duración en meses</t>
  </si>
  <si>
    <t>Duracion den luna</t>
  </si>
  <si>
    <t>Lening</t>
  </si>
  <si>
    <t>Loan</t>
  </si>
  <si>
    <t>Préstamo</t>
  </si>
  <si>
    <t>Fiansa</t>
  </si>
  <si>
    <t>Afsluitkosten</t>
  </si>
  <si>
    <t>Rente % per jaar</t>
  </si>
  <si>
    <t>Annual interest %</t>
  </si>
  <si>
    <t>Interés  % annual</t>
  </si>
  <si>
    <t>Interes % pa aña</t>
  </si>
  <si>
    <t>Rente % per maand</t>
  </si>
  <si>
    <t>Monthly interest %</t>
  </si>
  <si>
    <t>Interés % per mensual</t>
  </si>
  <si>
    <t>Interes pa luna</t>
  </si>
  <si>
    <t>Aflossing per maand</t>
  </si>
  <si>
    <t>Monthly redemption</t>
  </si>
  <si>
    <t>Pagos por mes</t>
  </si>
  <si>
    <t>Pago mensual</t>
  </si>
  <si>
    <t>Aflosmethode</t>
  </si>
  <si>
    <t>Amortization profile</t>
  </si>
  <si>
    <t>Maand 1e aflossing</t>
  </si>
  <si>
    <t>Month of first payment</t>
  </si>
  <si>
    <t>Primer mes de pago</t>
  </si>
  <si>
    <t xml:space="preserve">Luna 1e pago </t>
  </si>
  <si>
    <t xml:space="preserve">Jaar </t>
  </si>
  <si>
    <t xml:space="preserve">Year </t>
  </si>
  <si>
    <t xml:space="preserve">Año </t>
  </si>
  <si>
    <t xml:space="preserve">Aña </t>
  </si>
  <si>
    <t>Bedrag lening begin maand</t>
  </si>
  <si>
    <t>Amount at the beginning</t>
  </si>
  <si>
    <t>Suma préstamo pricipio mes</t>
  </si>
  <si>
    <t>Montante fiansa na inicio di luna</t>
  </si>
  <si>
    <t>Kosten rente per maand</t>
  </si>
  <si>
    <t>Monthly interest costs</t>
  </si>
  <si>
    <t>Gastos interés mensual</t>
  </si>
  <si>
    <t>Gastonan Interes mensual</t>
  </si>
  <si>
    <t>Te betalen per maand</t>
  </si>
  <si>
    <t>To be paid per month</t>
  </si>
  <si>
    <t>A pagar mensualmente</t>
  </si>
  <si>
    <t xml:space="preserve">Suma mensual </t>
  </si>
  <si>
    <t>Totaal betaald gedurende de looptijd</t>
  </si>
  <si>
    <t>Paid total during the term</t>
  </si>
  <si>
    <t xml:space="preserve">Total pagado durante periodo </t>
  </si>
  <si>
    <t>Total paga durante e termino di fiansa</t>
  </si>
  <si>
    <t>Totaal aflossing</t>
  </si>
  <si>
    <t>Total redemption</t>
  </si>
  <si>
    <t>Pago total</t>
  </si>
  <si>
    <t xml:space="preserve">Total pago </t>
  </si>
  <si>
    <t>Totaal rente</t>
  </si>
  <si>
    <t>Total interest</t>
  </si>
  <si>
    <t>Interés total</t>
  </si>
  <si>
    <t>Total interes</t>
  </si>
  <si>
    <t>Totaal afsluitkosten</t>
  </si>
  <si>
    <t>Total formalisation fee</t>
  </si>
  <si>
    <t>Total gastos de cierre</t>
  </si>
  <si>
    <t>Total gasto di contract</t>
  </si>
  <si>
    <t>Effectieve rente</t>
  </si>
  <si>
    <t>Effective interest rate</t>
  </si>
  <si>
    <t>Interés efectivo</t>
  </si>
  <si>
    <t>Interes efectivo</t>
  </si>
  <si>
    <t>Gefeliciteerd!</t>
  </si>
  <si>
    <t>Congratulations!</t>
  </si>
  <si>
    <t>¡Felicitaciones!</t>
  </si>
  <si>
    <t>Pabien!</t>
  </si>
  <si>
    <t>Je hebt de succesvol module 'De Cijfers' doorlopen. De antwoorden die je hebt in gevuld op de vragen in de e-learning staan op het tabblad 'Mijn Antwoorden'. Als je hieronder op 'Mijn Antwoorden' klikt kun je ze bekijken en eventueel aanpassen.</t>
  </si>
  <si>
    <t>You have successfully completed the module ‘The Figures’. The answers you have provided to the questions in the e-learning programme are under the tab 'My Answers'. If you click below on 'My Answers', you can view them and, if necessary, change them.</t>
  </si>
  <si>
    <t>Has completado correctamente el módulo de "Las cifras". Tus respuestas a las preguntas en el aprendizaje electrónico "están en la lengüeta Mis respuestas. Si haces clic aquí abajo en "Mis respuestas ", las puedes ver y modificarlas de ser necesario.</t>
  </si>
  <si>
    <t>Bo a pasa dor di e modulo E Cifranan exitosamente. E contestanan cu bo a yena riba e preguntanan den e curso Online ta riba e pagina ´´Mi contestanan¨.  Si bo primi riba ¨Mi Contestanan¨ bo por mira nan y si mester haci cambio den nan.</t>
  </si>
  <si>
    <t xml:space="preserve">    Mijn Antwoorden</t>
  </si>
  <si>
    <t xml:space="preserve">    My Answers</t>
  </si>
  <si>
    <t>Mis respuestas</t>
  </si>
  <si>
    <t>Mi Contestanan</t>
  </si>
  <si>
    <t>De antwoorden die je hebt ingevuld zijn verwerkt in dit financieel plan. Met dit plan heb je in beeld wat de financiële verwachtingen van je op te starten onderneming zijn. Klik op de onderstaande begrotingen om ze te bekijken.</t>
  </si>
  <si>
    <t>The answers you have provided are included in this financial plan. This plan will give you a picture of the financial expectations of your future company. Click on the budgets below to view them.</t>
  </si>
  <si>
    <t>Tus respuestas están elaboradas en este plan financiero. Con este plan, tienes una idea sobre las espectativas de tu negocio por iniciar. Hacer clic en los presupuestos a continuación, para verlas.</t>
  </si>
  <si>
    <t xml:space="preserve">E contestanan cu bo a yena ta procesa den e plan financiero aki. Cu e plan aki bo tin un imagen di kico e espectativanan financiero di bo empresa cu bo kier bay inicia, ta. </t>
  </si>
  <si>
    <t>BEREKENING APR VOOR</t>
  </si>
  <si>
    <t>Termijn</t>
  </si>
  <si>
    <t>Periode</t>
  </si>
  <si>
    <t>Aflossing</t>
  </si>
  <si>
    <t>Rente</t>
  </si>
  <si>
    <t>Contante waarde</t>
  </si>
  <si>
    <t>Nr</t>
  </si>
  <si>
    <t>Vervaldatum</t>
  </si>
  <si>
    <t>Vanaf</t>
  </si>
  <si>
    <t>Tot en met</t>
  </si>
  <si>
    <t>Prorata</t>
  </si>
  <si>
    <t>Grondslag</t>
  </si>
  <si>
    <t>Cashflow</t>
  </si>
  <si>
    <t>Cashflow met kosten</t>
  </si>
  <si>
    <t>Nominale</t>
  </si>
  <si>
    <t>Effectieve</t>
  </si>
  <si>
    <t>Divisor</t>
  </si>
  <si>
    <t>looptijd</t>
  </si>
  <si>
    <t>Yes</t>
  </si>
  <si>
    <t>Si</t>
  </si>
  <si>
    <t>Nee</t>
  </si>
  <si>
    <t>No</t>
  </si>
  <si>
    <t>minder dan 525 uren</t>
  </si>
  <si>
    <t>525 - 875 uren</t>
  </si>
  <si>
    <t>875 -1225 uren</t>
  </si>
  <si>
    <t>Ontvangen</t>
  </si>
  <si>
    <t>1225 - 1750 uren</t>
  </si>
  <si>
    <t>Betalen</t>
  </si>
  <si>
    <t>meer dan 1750 uren</t>
  </si>
  <si>
    <t>Directo</t>
  </si>
  <si>
    <t>Binnen 14 dagen</t>
  </si>
  <si>
    <t>Within 14 days</t>
  </si>
  <si>
    <t>Dentro 14 dias</t>
  </si>
  <si>
    <t>Den 14 dia</t>
  </si>
  <si>
    <t>Binnen 30 dagen</t>
  </si>
  <si>
    <t>Within 30 days</t>
  </si>
  <si>
    <t>Dentro 30 diass</t>
  </si>
  <si>
    <t>Den 30 dia</t>
  </si>
  <si>
    <t>Binnen 60 dagen</t>
  </si>
  <si>
    <t>Within 60 days</t>
  </si>
  <si>
    <t>Dentro 60 dias</t>
  </si>
  <si>
    <t>Den 60 dia</t>
  </si>
  <si>
    <t>Binnen 90 dagen</t>
  </si>
  <si>
    <t>Within 90 days</t>
  </si>
  <si>
    <t>Dentro 90 dias</t>
  </si>
  <si>
    <t>Den 90 dia</t>
  </si>
  <si>
    <t>Uitkering</t>
  </si>
  <si>
    <t>loopt gewoon door</t>
  </si>
  <si>
    <t>gestopt</t>
  </si>
  <si>
    <t>maanden</t>
  </si>
  <si>
    <t>Breng ik zelf in</t>
  </si>
  <si>
    <t>Supplied by myself</t>
  </si>
  <si>
    <t>Aportado por mi</t>
  </si>
  <si>
    <t>Mi mes ta inverti</t>
  </si>
  <si>
    <t>Zijn nog te investeren</t>
  </si>
  <si>
    <t>Yet to be invested</t>
  </si>
  <si>
    <t>Aun por invertir</t>
  </si>
  <si>
    <t>Ainda pa inverti</t>
  </si>
  <si>
    <t>continuous</t>
  </si>
  <si>
    <t>Continua normal</t>
  </si>
  <si>
    <t>ta sigui core normal</t>
  </si>
  <si>
    <t>stopped</t>
  </si>
  <si>
    <t>Parado</t>
  </si>
  <si>
    <t>para</t>
  </si>
  <si>
    <t>tot maand 1</t>
  </si>
  <si>
    <t>till month 1</t>
  </si>
  <si>
    <t>Hasta mes 1</t>
  </si>
  <si>
    <t>t/cu luna 1</t>
  </si>
  <si>
    <t>tot maand 2</t>
  </si>
  <si>
    <t>till month 2</t>
  </si>
  <si>
    <t>Hasta mes 2</t>
  </si>
  <si>
    <t>t/c luna 2</t>
  </si>
  <si>
    <t>tot maand 3</t>
  </si>
  <si>
    <t>till month 3</t>
  </si>
  <si>
    <t>Hasta mes 3</t>
  </si>
  <si>
    <t>t/c luna 3</t>
  </si>
  <si>
    <t>tot maand 4</t>
  </si>
  <si>
    <t>till month 4</t>
  </si>
  <si>
    <t>Hasta mes 4</t>
  </si>
  <si>
    <t xml:space="preserve">t/c luna 4 </t>
  </si>
  <si>
    <t>tot maand 5</t>
  </si>
  <si>
    <t>till month 5</t>
  </si>
  <si>
    <t>Hasta mes 5</t>
  </si>
  <si>
    <t>t/c luna 5</t>
  </si>
  <si>
    <t>tot maand 6</t>
  </si>
  <si>
    <t>till month 6</t>
  </si>
  <si>
    <t>Hasta mes 6</t>
  </si>
  <si>
    <t>t/c luna 6</t>
  </si>
  <si>
    <t>Deduccion por colaboracion</t>
  </si>
  <si>
    <t>Deduccion pa colaborador</t>
  </si>
  <si>
    <t>menos de 525 horas</t>
  </si>
  <si>
    <t>menos cu 525 ora</t>
  </si>
  <si>
    <t>525 - 875 hours</t>
  </si>
  <si>
    <t>525 - 875 horas</t>
  </si>
  <si>
    <t>525 - 875 ora</t>
  </si>
  <si>
    <t>875 -1225 hours</t>
  </si>
  <si>
    <t>875 -1225 horas</t>
  </si>
  <si>
    <t>875 -1225 ora</t>
  </si>
  <si>
    <t>1225 - 1750 hours</t>
  </si>
  <si>
    <t>1225 - 1750 horas</t>
  </si>
  <si>
    <t>1225 - 1750 ora</t>
  </si>
  <si>
    <t>more than 1750 hours</t>
  </si>
  <si>
    <t>mas de 1750 horas</t>
  </si>
  <si>
    <t>mas cu 1750 ora</t>
  </si>
  <si>
    <t xml:space="preserve">Periodo de gracia </t>
  </si>
  <si>
    <t>Periodo di Gracia</t>
  </si>
  <si>
    <t>Rechtsvorm</t>
  </si>
  <si>
    <t>V.O.F.</t>
  </si>
  <si>
    <t>B.V.</t>
  </si>
  <si>
    <t>Ondernemers</t>
  </si>
  <si>
    <t>One</t>
  </si>
  <si>
    <t>Twee</t>
  </si>
  <si>
    <t>Two</t>
  </si>
  <si>
    <t>Meer</t>
  </si>
  <si>
    <t>More</t>
  </si>
  <si>
    <t>Annuïteit</t>
  </si>
  <si>
    <t>Annuity</t>
  </si>
  <si>
    <t>Lineair</t>
  </si>
  <si>
    <t>Linear</t>
  </si>
  <si>
    <t>Boekjaar</t>
  </si>
  <si>
    <t>Laatst bijgewerkt:</t>
  </si>
  <si>
    <t>Deel winst</t>
  </si>
  <si>
    <t>Totaal investeringen*</t>
  </si>
  <si>
    <t>IB</t>
  </si>
  <si>
    <t>Aftrek</t>
  </si>
  <si>
    <t>van</t>
  </si>
  <si>
    <t>tot</t>
  </si>
  <si>
    <t>Tarief</t>
  </si>
  <si>
    <t>Schijf</t>
  </si>
  <si>
    <t>Meegewerkte uren partner</t>
  </si>
  <si>
    <t>Investeringsbedrag</t>
  </si>
  <si>
    <t>Winst ondernemingsaftrek</t>
  </si>
  <si>
    <t>Korting</t>
  </si>
  <si>
    <t>Vertaling</t>
  </si>
  <si>
    <t>Ondernemer:</t>
  </si>
  <si>
    <t>1e ondernemer:</t>
  </si>
  <si>
    <t>2e ondernemer:</t>
  </si>
  <si>
    <t>Entrepreneur:</t>
  </si>
  <si>
    <t>First entrepreneur:</t>
  </si>
  <si>
    <t>Second entrepreneur:</t>
  </si>
  <si>
    <t>What is the extent of this income per month?</t>
  </si>
  <si>
    <t>How much of this income will your partner still receive once you've started up your business?</t>
  </si>
  <si>
    <t>a. Hoeveel rente betaal je hiervoor per maand?</t>
  </si>
  <si>
    <t>a. How much will you pay for interest?</t>
  </si>
  <si>
    <t>b. Hoeveel moet je per maand terugbetalen (aflossen)?</t>
  </si>
  <si>
    <t>b. How much will you repay (pay off) per month?</t>
  </si>
  <si>
    <t>c. Wanneer begin je met aflossen?</t>
  </si>
  <si>
    <t>c. When will you start paying off the loans?</t>
  </si>
  <si>
    <t xml:space="preserve"> - Vanaf wanneer heb je deze kosten?</t>
  </si>
  <si>
    <t xml:space="preserve"> - From when will you incur these costs?</t>
  </si>
  <si>
    <t>Hoeveel procent van je omzet betaal je voor de inkoop?</t>
  </si>
  <si>
    <t>What percentage of your revenue do you pay for the purchase?</t>
  </si>
  <si>
    <t>What BTW rate applies to the purchase price?</t>
  </si>
  <si>
    <t>Wanneer moet je je leveranciers betalen (i.v.m. inkoop)?</t>
  </si>
  <si>
    <t>When do you need to pay your suppliers (for your purchases)?</t>
  </si>
  <si>
    <t xml:space="preserve"> - ¿A partir de cuando tienes estos gastos?</t>
  </si>
  <si>
    <t>¿Cuáles son los ingresos mensuales?</t>
  </si>
  <si>
    <t>Cuanto e entradanan aki ta luna?</t>
  </si>
  <si>
    <t>¿Cuánto de ese ingreso recibe tu pareja, después de iniciar tu negocio?</t>
  </si>
  <si>
    <t>Cuanto di e entrada ey bo pareha ta ricibi ainda na momento cu bo start bo negoshi?</t>
  </si>
  <si>
    <t>a. ¿Cuánto interés pagas mensualmente?</t>
  </si>
  <si>
    <t>a. Cuanto interes bo ta paga pa luna di esaki?</t>
  </si>
  <si>
    <t>b. Cuanto bo tin cu paga bek pa luna riba esaki?</t>
  </si>
  <si>
    <t>b. ¿Cuánto debes pagar mensualmente (redimir)?</t>
  </si>
  <si>
    <t>c. ¿Cuando empiezas con los pagos?</t>
  </si>
  <si>
    <t>c. Ki tempo bo ta cuminsa paga bek?</t>
  </si>
  <si>
    <t>vast bedrag voor rente en aflossing</t>
  </si>
  <si>
    <t>fixed amount for both interest and repayment</t>
  </si>
  <si>
    <t>vast bedrag voor aflossing</t>
  </si>
  <si>
    <t>fixed amount for repayment</t>
  </si>
  <si>
    <t xml:space="preserve"> Vennootschapsbelasting</t>
  </si>
  <si>
    <t xml:space="preserve"> Corporate income tax</t>
  </si>
  <si>
    <t xml:space="preserve"> Tax (income)</t>
  </si>
  <si>
    <t xml:space="preserve"> Salaris directie</t>
  </si>
  <si>
    <t xml:space="preserve"> Salary management</t>
  </si>
  <si>
    <t xml:space="preserve"> Private withdrawal</t>
  </si>
  <si>
    <t>Profit</t>
  </si>
  <si>
    <t>Changes in Equity</t>
  </si>
  <si>
    <t>Amount annuity</t>
  </si>
  <si>
    <t>Bedrag maandelijkse aflossing</t>
  </si>
  <si>
    <t>Amount monthly redemption</t>
  </si>
  <si>
    <t>Fill in separate answers to personal finance questions for both entrepreneurs (answers for husband &amp; wife may be combined).</t>
  </si>
  <si>
    <t>Fill in separate answers to personal finance questions for maximum two entrepreneurs (answers for husband &amp; wife may be combined).</t>
  </si>
  <si>
    <t>Use column F for answers to questions about personal finances.</t>
  </si>
  <si>
    <t>Hoeveel salaris ga je maandelijks uit de B.V. halen?</t>
  </si>
  <si>
    <t>What monthly income will you draw from the company?</t>
  </si>
  <si>
    <t>Vul het brutoloon in:</t>
  </si>
  <si>
    <t>Please fill in the gross salary:</t>
  </si>
  <si>
    <t>Investeringen</t>
  </si>
  <si>
    <t>Ja/Nee</t>
  </si>
  <si>
    <t>*inclusief grens</t>
  </si>
  <si>
    <t>Zelfstandigenaftrek (2023)</t>
  </si>
  <si>
    <t>Startersaftrek (2023)</t>
  </si>
  <si>
    <t>Meewerkaftrek (2023)</t>
  </si>
  <si>
    <t>Investeringsaftrek (2023)</t>
  </si>
  <si>
    <t>MKB-winstvrijstelling (2023)</t>
  </si>
  <si>
    <t>Variabelen IB 2023</t>
  </si>
  <si>
    <t>Heffingskorting (2023)</t>
  </si>
  <si>
    <t>Arbeidskorting (2023)</t>
  </si>
  <si>
    <t>Rekenblad IB en VPB</t>
  </si>
  <si>
    <t>Variabelen VPB 2023</t>
  </si>
  <si>
    <t>VPB</t>
  </si>
  <si>
    <t>Belastbaar inkomen VPB</t>
  </si>
  <si>
    <t>If you receive (temporary) benefits or other income, how much is this per month?</t>
  </si>
  <si>
    <t>How long will this benefit or other income continue after the start-up of your business?</t>
  </si>
  <si>
    <t>Heb je een levenspartner met inkomen (uit loondienstverband of uitkering)?</t>
  </si>
  <si>
    <t>Do you have a life partner with an income (from employment or benefits)?</t>
  </si>
  <si>
    <t>Wat is de hoogte van je openstaande hypotheek?</t>
  </si>
  <si>
    <t>How much is the outstanding mortgage?</t>
  </si>
  <si>
    <t>Machines en/of gereedschappen</t>
  </si>
  <si>
    <t>Machinery and/or equipment</t>
  </si>
  <si>
    <t>Transportation vehicles</t>
  </si>
  <si>
    <t>Promotional costs</t>
  </si>
  <si>
    <t xml:space="preserve">Hoeveel geld heb je geleend en/of ga je lenen bij overige financieringsbronnen? </t>
  </si>
  <si>
    <t xml:space="preserve">How much have you borrowed and/or will you borrow from other sources of finance? </t>
  </si>
  <si>
    <t>What is the projected monthly revenue of the first year of operations?</t>
  </si>
  <si>
    <t>Hoeveel omzet verwacht je per maand te realiseren in het eerste actieve bedrijfsjaar?</t>
  </si>
  <si>
    <t>Ondernemer</t>
  </si>
  <si>
    <t>Urencriterium</t>
  </si>
  <si>
    <t>Uitleg aftrekposten</t>
  </si>
  <si>
    <t>Explanation tax deductions</t>
  </si>
  <si>
    <t>Entrepreneur</t>
  </si>
  <si>
    <t>As a self-employed entrepreneur, you may be eligible for the zelfstandigenaftrek. You are then allowed to deduct a fixed amount from your profit, which reduces your tax payment.
You are entitled to the zelfstandigenaftrek if you:
      - Are an entrepreneur
      - Meet the hour criterion
      - Have not reached the state pension age (AOW-leeftijd) at the beginning of the calendar year.</t>
  </si>
  <si>
    <t>Hour criterion</t>
  </si>
  <si>
    <t>As a starting entrepeneur, you may be eligible for the startersaftrek. Similar to the zelfstandigenaftrek, you are allowed to deduct a fixed amount from your profit.
You are entitled to the startersaftrek if you:
      - Are entitled to the zelfstandigenaftrek
      - Have not been an entrepreneur every year in the past 5 years
      - Have used the zelfstandigenaftrek at most two times in the past 5 years</t>
  </si>
  <si>
    <t>If your partner contributes (largely) unpaid labor to the business, you can benefit from the meewerkaftrek. The meewerkaftrek depends on the achieved profit and the number of hours contributed. Therefore, maintain a record of hours worked!
You are entitled to the meewerkaftrek if you:
      - Are an entrepreneur
      - Meet the hour criterion
      - Have a fiscal partner who works 525 hours or more without compensation in your business, or for compensation 
        of less that € 5,000
      - Can substantiate the number of hours contributed</t>
  </si>
  <si>
    <t>Not every entrepreneur is considered a tax entrepreneur. To qualify for tax entrepreneur status, you must meet several conditions.
The Tax Authority applies the following principles in this regard:
      - Profit: If you only have a very small profit or consistently experience losses, it is not likely that you will 
        generate profits. In such cases, there is no indication of a business.
      - Independence: If others dictate how you should organize your business and carry out your activities, the aspect 
         of independence is lacking, and typically there is no sign of a business.
      - Capital: Capital is essential for many businesses. You need to invest in things like machinery, advertising, 
         hiring personnel, and insurance. Having sufficient capital to start a business and keep it operational for some 
         time suggests that you might have a business.
      - Time: If you allocate a significant amount of time to an activity without generating returns, it usually doesn't 
         qualify as a business. However, you still need to allocate sufficient time to make your activities profitable.
      - Clients: Your objective is to have multiple clients, among other reasons, to reduce payment and continuity risks. 
         Having multiple clients makes you less dependent on one or a few clients and increases your independence.
      - Image: Your existence depends on clients. To be considered an entrepreneur, you must ensure that your 
         business is sufficiently recognized, for example, through advertising, a website, social media, signage, or your 
         own stationery.
      - Business Risk: Is there a possibility that your clients might not pay? Do you leverage your good reputation for 
         performing your activities? Are you reliant on the demand for and supply of your products and services? If you're 
         exposed to "business risk," you probably have a business.
      - Liability: If you are liable for your business's debts, you might be considered an entrepreneur.</t>
  </si>
  <si>
    <t xml:space="preserve">You meet the hour criterion if you:
      - Spent at least 1,225 hours on your business(es) during the calendar year. Did you interrupt your work as an 
        entrepreneur due to your pregnancy? In that case, the non-worked hours over a total of 16 weeks still count as 
        worked hours.
      - Need to spend more time on your businesses than on other activities (for instance, employment).
If you're not an entrepreneur for the entire year, perhaps because you started in the middle of the year, you still need to dedicate at least 1,225 hours to your business(es). The 1,225 hours cannot be prorated for the period during which you are an entrepreneur.
</t>
  </si>
  <si>
    <t>Inkomensafhankelijke bijdrage Zvw</t>
  </si>
  <si>
    <t>Bijdrage</t>
  </si>
  <si>
    <t>Bijdrage Zvw</t>
  </si>
  <si>
    <t>Tariefsaanpassing aftrekposten</t>
  </si>
  <si>
    <t>Tariefaanpassingen</t>
  </si>
  <si>
    <t>Kortingen</t>
  </si>
  <si>
    <t>Kies voor 'Twee' of 'Meer'.</t>
  </si>
  <si>
    <t>Select 'Two' or 'More'.</t>
  </si>
  <si>
    <t>This format will help you fill in the budgets. 
You can put together your financial plan by answering the questions on the QUESTIONNAIRE worksheet. For most questions you fill in an amount, for other questions you either put in a number or select an option from a dropdown menu. By answering the questionnaire, the financial overviews are automatically filled in and calculated. These budgets can be found on the blue worksheets which cannot be filled in or altered manually. 
If you wish to make a change, do so by modifying the light blue cells in the questionnaire! The remaining cells are locked with a password. This password is not required to fill out the plan and will not be provided. Qredits does not want its template to be altered.</t>
  </si>
  <si>
    <t>If you are drafting this plan for a Qredits loan application, you can upload the financial plan together with your business plan at:</t>
  </si>
  <si>
    <t>What is this?</t>
  </si>
  <si>
    <t>Privé: aftrekposten Belastingdienst</t>
  </si>
  <si>
    <t>Private: tax deductions</t>
  </si>
  <si>
    <t>less than 525 hours</t>
  </si>
  <si>
    <t>Click here to return to the QUESTIONNAIRE</t>
  </si>
  <si>
    <t>vul nettobedrag in:</t>
  </si>
  <si>
    <t>enter amount:</t>
  </si>
  <si>
    <t>enter percentage:</t>
  </si>
  <si>
    <t>enter net amount:</t>
  </si>
  <si>
    <t>calculated:</t>
  </si>
  <si>
    <t>Verzekeringen (aansprakelijkheid, arbeidsongeschiktheid, inboedel)</t>
  </si>
  <si>
    <t>Insurance (liability, disability, contents)</t>
  </si>
  <si>
    <t>Administratiekosten (accountant, adviseur, boekhoudpakket)</t>
  </si>
  <si>
    <t>Administration costs (accountant, consultant, accounting package)</t>
  </si>
  <si>
    <t>Subscriptions (telephone, internet, trade journals, industry associations, Chamber of Commerce, accountant, consultant etc.)</t>
  </si>
  <si>
    <t>Kantoorartikelen ((brief-)papier, cartridges, postzegels)</t>
  </si>
  <si>
    <t>Office supplies (stationery, paper, cartridges, stamps etc.)</t>
  </si>
  <si>
    <t>Overig</t>
  </si>
  <si>
    <t>Other</t>
  </si>
  <si>
    <t>If you resell more than two products, try categorizing these into two groups</t>
  </si>
  <si>
    <t>Als je meer dan twee producten verkoopt, probeer deze in twee groepen in te delen</t>
  </si>
  <si>
    <t>Bron: Belastingdienst</t>
  </si>
  <si>
    <t>Source: Belastingdienst</t>
  </si>
  <si>
    <t>Versie 20240308</t>
  </si>
  <si>
    <t>Printen</t>
  </si>
  <si>
    <t>Promotie/reclame (onderhoudskosten website, domeinnaam, Google Ads)</t>
  </si>
  <si>
    <t>Promotion/publicity (website maintenance, domain name, Google Ads)</t>
  </si>
  <si>
    <t>Overige verzekeringen (inboedel, WA, e.d.)</t>
  </si>
  <si>
    <t>Vervoer (brandstof, onderhoud, abonnement)</t>
  </si>
  <si>
    <t>Abonnementen (telefoon, internet, vakbladen, brancheverenigingen, KVK, accountant, adviseur)</t>
  </si>
  <si>
    <t>Welk btw-tarief is van toepassing op de inkoopprijs?</t>
  </si>
  <si>
    <t>Welk btw-tarief is van toepassing op de verkoopprijs?</t>
  </si>
  <si>
    <t>Vaste activa (excl. btw)</t>
  </si>
  <si>
    <t>Vlottende activa (excl. btw)</t>
  </si>
  <si>
    <t>Btw over investeringen</t>
  </si>
  <si>
    <t xml:space="preserve"> Btw</t>
  </si>
  <si>
    <t xml:space="preserve"> Omzet incl. btw</t>
  </si>
  <si>
    <t xml:space="preserve"> Omzet product 1 (excl. btw)</t>
  </si>
  <si>
    <t xml:space="preserve"> Omzet product 2 (excl. btw)</t>
  </si>
  <si>
    <t xml:space="preserve"> Btw inkoop</t>
  </si>
  <si>
    <t xml:space="preserve"> Btw investeringen/kosten</t>
  </si>
  <si>
    <t xml:space="preserve"> Btw-afdracht</t>
  </si>
  <si>
    <t>Brutowinst</t>
  </si>
  <si>
    <t>Netto-omzet product 1</t>
  </si>
  <si>
    <t>Netto-omzet product 2</t>
  </si>
  <si>
    <t>Totaal brutowinst</t>
  </si>
  <si>
    <t>Totaal bedrijfskosten</t>
  </si>
  <si>
    <t>Mutatie eigen vermogen</t>
  </si>
  <si>
    <t>Wat is dit?</t>
  </si>
  <si>
    <t>Als zelfstandig ondernemer kan je in aanmerking komen voor de zelfstandigenaftrek. Je mag dan een vast bedrag van je winst aftrekken. Daardoor betaal je minder belasting. 
Je hebt recht op de zelfstandigenaftrek als je:
      - Ondernemer bent
      - Voldoet aan het urencriterium
      - Aan het begin van het kalenderjaar de AOW-leeftijd nog niet hebt bereikt</t>
  </si>
  <si>
    <t>Werkt jouw partner (grotendeels) onbetaald mee in de onderneming, dan kan je profiteren van de meewerkaftrek. De meewerkaftrek is afhankelijk van de behaalde winst en het aantal meegewerkte uren. Houd dus een urenadministratie bij!
Je hebt recht op de meewerkaftrek als je:
      - Ondernemer bent
      - Voldoet aan het urencriterium
      - Een fiscale partner hebt die 525 uren of meer zonder vergoeding in uw onderneming werkt, of tegen een 
        vergoeding van minder dan € 5.000
      - Het aantal meegewerkte uren aannemelijk kan maken</t>
  </si>
  <si>
    <t>Niet iedere ondernemer, is ondernemer voor de belasting. Om in aamerking te komen voor de status van ondernemer voor de belasting moet je voldoen aan een aantal voorwaarden.
De Belastindienst hanteert daarbij de volgende uitgangspunten:
      - Winst: Als je alleen een hele kleine winst hebt of structureel verlies lijdt, is het niet aannemelijk dat je winst
         gaat maken. Er is dan geen sprake van een onderneming.
      - Zelfstandigheid: Als anderen bepalen hoe je jouw onderneming moet inrichten en hoe je jouw werkzaamheden
         uitvoert, ontbreekt de zelfstandigheid en is er meestal geen sprake van een onderneming.
      - Kapitaal: Kapitaal is voor veel ondernemingen noodzakelijk. Je moet investeren in bijvoorbeeld machines, 
         reclame, inhuur van mensen en verzekeringen. Voldoende kapitaal om een onderneming te starten en enige 
         tijd draaiende te houden, wijst erop dat je mogelijk een onderneming hebt.
      - Tijd: Als je erg veel tijd aan een activiteit besteedt zonder dat dat rendement oplevert, is er meestal geen sprake 
         van een onderneming. Maar je moet wel voldoende tijd aan jouw werkzaamheden besteden om deze rendabel te 
         maken.
      - Opdrachtgevers: Het is jouw doel om meerdere opdrachtgevers te hebben, onder andere om betalings- en 
         continuïteitsrisico's te verkleinen. Als je meerdere opdrachtgevers hebt, ben je minder afhankelijk van een of 
         enkele opdrachtgevers en neemt jouw zelfstandigheid toe.
      - Uitstraling: Je bent voor jouw bestaan afhankelijk van opdrachtgevers. Om ondernemer te zijn, moet je zorgen dat 
        jouw onderneming voldoende bekend is, bijvoorbeeld via reclame, een internetsite, social media, een 
        uithangbord of eigen briefpapier.
      - Ondernemersrisico: Bestaat er een kans dat jouw opdrachtgevers niet betalen? Gebruik je jouw goede naam voor 
        de uitoefening van jouw werkzaamheden? Ben je afhankelijk van de vraag naar en het aanbod van jouw producten 
        en diensten? Loop je 'ondernemersrisico', dan heb je waarschijnlijk een onderneming.
      - Aansprakelijkheid: Als je aansprakelijk bent voor de schulden van jouw onderneming, dan ben je mogelijk 
        ondernemer.</t>
  </si>
  <si>
    <t>Als startende ondernemer kan je in aanmerking komen voor de startersaftrek. Je mag dan, net als bij de zelfstandigenaftrek, een vast bedrag van je winst aftrekken. 
Je hebt recht op de startersaftrek als je:
      - Recht hebt op de zelfstandigenaftrek
      - In de afgelopen 5 jaar niet elk jaar ondernemer was
      - In de afgelopen 5 jaar de zelfstandigenaftrek maximaal twee keer hebt gebruikt</t>
  </si>
  <si>
    <t>Je voldoet aan het urencriterium als je:
      - In het kalenderjaar minimaal 1.225 uren aan jouw onderneming(en) hebt besteed. Onderbrak je jouw werk als 
        ondernemer door jouw zwangerschap? Dan tellen de niet-gewerkte uren over totaal 16 weken toch mee als 
        gewerkte uren.
      - Meer tijd moet besteden aan jouw ondernemingen dan aan andere werkzaamheden (bijvoorbeeld in loondienst).
Als je niet het hele jaar ondernemer bent, doordat je bijvoorbeeld in de loop van het jaar bent gestart, moet je toch minimaal 1.225 uren aan jouw onderneming(en) besteden. De 1.225 uren mogen dan niet omgerekend worden naar de periode dat je ondernemer bent.</t>
  </si>
  <si>
    <t>Let op! Voordat je verder gaat moet het bestand worden opgeslagen op jouw computer. Dit doe je via Bestand -&gt; Opslaan als, of met F12.</t>
  </si>
  <si>
    <t>Dit format helpt je met het opstellen van de begrotingen. 
Het opstellen van dit financieel plan doe je door het beantwoorden van de vragen die worden gesteld op het tabblad VRAGENLIJST. Bij de meeste vragen moet je een bedrag invullen, bij andere vragen moet je een getal of onderdeel selecteren uit een lijst. Door het beantwoorden van de vragenlijst, worden de financiële overzichten automatisch ingevuld en doorgerekend. Deze overzichten zijn te vinden op de blauwgekleurden tabbladen. Deze tabbladen zijn niet in te vullen of te wijzigen. 
Als je een wijziging wilt aanbrengen doe je dat door de lichtblauwe cellen in de vragenlijst te wijzigen! De overige cellen zijn vergrendeld met een wachtwoord. Dit wachtwoord is niet nodig voor het invullen van het plan en wordt ook niet vrijgegeven. Qredits wil namelijk niet dat het sjabloon wordt aangepast.</t>
  </si>
  <si>
    <t>Het opstellen van dit financieel plan doe je door het beantwoorden van de vragen die worden gesteld op het tabblad VRAGENLIJST.</t>
  </si>
  <si>
    <t>Deze overzichten zijn te vinden op de blauwgekleurden tabbladen. Deze tabbladen zijn niet in te vullen of te wijzigen. Als je een wijziging wilt aanbrengen doe je dat door de lichtblauwe cellen in de vragenlijst te wijzigen!</t>
  </si>
  <si>
    <t>Je kunt het gehele financieel plan in één keer uitprinten door in het scherm 'afdrukken' het vakje 'hele werkmap' te selecteren.</t>
  </si>
  <si>
    <t>Als je dit plan opstelt ten behoeve van een financieringsaanvraag bij Qredits, dan kan je het financieel plan samen met je ondernemingsplan uploaden via:</t>
  </si>
  <si>
    <t>https://qredits.nl/zakelijk-krediet</t>
  </si>
  <si>
    <t xml:space="preserve">Disclaimer: Qredits draagt er zorg voor om de inhoud van deze module regelmatig bij te werken of toevoegingen hieraan te maken. Desalniettemin is Qredits niet aansprakelijk voor onjuistheden of onvolledigheden in de aangeboden inhoud. Qredits is op geen enkele wijze aansprakelijk voor schade voortvloeiend uit het gebruik van deze module. Het is de gebruiker slechts toegestaan om de module voor eigen gebruik op te slaan, af te drukken en te kopiëren.  </t>
  </si>
  <si>
    <t>Om mee te beginnen…</t>
  </si>
  <si>
    <t>Uit hoeveel ondernemers bestaat het bedrijf?</t>
  </si>
  <si>
    <t>vul perc. in:</t>
  </si>
  <si>
    <t>Vul de antwoorden op de privévragen voor max. twee ondernemers apart in. (Man/vrouw kan ook gezamenlijk)</t>
  </si>
  <si>
    <t>Vul de antwoorden op de privévragen voor beide ondernemers apart in. (Man/vrouw kan ook gezamenlijk)</t>
  </si>
  <si>
    <t>Vul de antwoorden op de privévragen in bij kolom F.</t>
  </si>
  <si>
    <t>Als je een (tijdelijke) uitkering of overig inkomen ontvangt, hoe hoog is deze dan per maand?</t>
  </si>
  <si>
    <t>Hoelang loopt deze uitkering of dit overige inkomen door na de start van jouw bedrijf?</t>
  </si>
  <si>
    <t>Hoe hoog zijn de toeslagen (zoals kind-, zorg- en huurtoeslag) per maand?</t>
  </si>
  <si>
    <t>Hoe hoog is dit inkomen per maand?</t>
  </si>
  <si>
    <t>Hoeveel van dit inkomen ontvangt je partner nog als je jouw bedrijf hebt opgestart?</t>
  </si>
  <si>
    <t>Totaal gezamenlijk maandinkomen op dit moment:</t>
  </si>
  <si>
    <t>Totaal gezamenlijk maandinkomen wanneer je bedrijf is opgestart:</t>
  </si>
  <si>
    <t>Hoeveel geef je maandelijks privé uit?</t>
  </si>
  <si>
    <t>Aflossing en rente privélening (geen hypotheek)</t>
  </si>
  <si>
    <t>Wat is de WOZ-waarde van je woning?</t>
  </si>
  <si>
    <t>Promotie- en aanloopkosten</t>
  </si>
  <si>
    <t xml:space="preserve"> Afdracht inkomstenbelasting</t>
  </si>
  <si>
    <t xml:space="preserve"> Privéonttrekking</t>
  </si>
  <si>
    <t>IB-bedrag</t>
  </si>
  <si>
    <t>Privéonttrekking</t>
  </si>
  <si>
    <t xml:space="preserve">Cashflowoverzicht  </t>
  </si>
  <si>
    <t>Totale privéonttrekking</t>
  </si>
  <si>
    <t xml:space="preserve">    Investment budget</t>
  </si>
  <si>
    <t xml:space="preserve">    Financing budget</t>
  </si>
  <si>
    <t xml:space="preserve">    Operating budget</t>
  </si>
  <si>
    <t xml:space="preserve">    Cash flow budget</t>
  </si>
  <si>
    <t>You can put together your financial plan by answering the questions on the QUESTIONNAIRE worksheet.</t>
  </si>
  <si>
    <t>Print</t>
  </si>
  <si>
    <t>You can print the entire financial plan by selecting the box 'entire working folder' in the 'print' screen.</t>
  </si>
  <si>
    <t>But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</si>
</sst>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8" formatCode="&quot;€&quot;\ #,##0.00;[Red]&quot;€&quot;\ \-#,##0.00"/>
    <numFmt numFmtId="164" formatCode="&quot; € &quot;#,##0.00\ ;&quot; € &quot;#,##0.00\-;&quot; € -&quot;#\ ;@\ "/>
    <numFmt numFmtId="165" formatCode="#,##0.0"/>
    <numFmt numFmtId="166" formatCode="&quot;€ &quot;#,##0"/>
    <numFmt numFmtId="167" formatCode="&quot;€ &quot;#,##0;&quot;€ -&quot;#,##0"/>
    <numFmt numFmtId="168" formatCode="&quot;€ &quot;#,##0\ "/>
    <numFmt numFmtId="169" formatCode="&quot;€ &quot;#,##0.00\ ;&quot;€ &quot;#,##0.00\-"/>
    <numFmt numFmtId="170" formatCode="&quot; € &quot;#,##0\ ;&quot; € &quot;#,##0\-;&quot; € - &quot;;@\ "/>
    <numFmt numFmtId="171" formatCode="&quot;€ &quot;#,##0.00\ "/>
    <numFmt numFmtId="172" formatCode="&quot;€ &quot;#,##0\ ;&quot;€ &quot;#,##0\-"/>
    <numFmt numFmtId="173" formatCode="#,##0.00_ ;\-#,##0.00\ "/>
    <numFmt numFmtId="174" formatCode="&quot;€&quot;\ #,##0.00"/>
    <numFmt numFmtId="175" formatCode="&quot;€&quot;\ #,##0"/>
    <numFmt numFmtId="176" formatCode="#,##0_ ;[Red]\-#,##0\ "/>
    <numFmt numFmtId="177" formatCode="#,##0.000000_ ;[Red]\-#,##0.000000\ "/>
    <numFmt numFmtId="178" formatCode="0.00000%"/>
    <numFmt numFmtId="179" formatCode="&quot;€&quot;\ #,##0.00000;[Red]&quot;€&quot;\ \-#,##0.00000"/>
    <numFmt numFmtId="180" formatCode="0.0%"/>
    <numFmt numFmtId="181" formatCode="0.00000000%"/>
  </numFmts>
  <fonts count="94" x14ac:knownFonts="1">
    <font>
      <sz val="10"/>
      <name val="Arial"/>
      <family val="2"/>
    </font>
    <font>
      <sz val="10"/>
      <name val="Mangal"/>
      <family val="2"/>
    </font>
    <font>
      <u/>
      <sz val="10"/>
      <color indexed="12"/>
      <name val="Arial"/>
      <family val="2"/>
    </font>
    <font>
      <sz val="11"/>
      <name val="Calibri"/>
      <family val="2"/>
    </font>
    <font>
      <b/>
      <sz val="30"/>
      <color indexed="53"/>
      <name val="Calibri"/>
      <family val="2"/>
    </font>
    <font>
      <sz val="11"/>
      <color indexed="62"/>
      <name val="Calibri"/>
      <family val="2"/>
    </font>
    <font>
      <b/>
      <sz val="11"/>
      <color indexed="62"/>
      <name val="Calibri"/>
      <family val="2"/>
    </font>
    <font>
      <sz val="20"/>
      <color indexed="53"/>
      <name val="Calibri"/>
      <family val="2"/>
    </font>
    <font>
      <b/>
      <sz val="11"/>
      <color indexed="29"/>
      <name val="Calibri"/>
      <family val="2"/>
    </font>
    <font>
      <i/>
      <sz val="11"/>
      <color indexed="62"/>
      <name val="Calibri"/>
      <family val="2"/>
    </font>
    <font>
      <u/>
      <sz val="16"/>
      <color indexed="12"/>
      <name val="Calibri"/>
      <family val="2"/>
    </font>
    <font>
      <i/>
      <sz val="9"/>
      <color indexed="62"/>
      <name val="Calibri"/>
      <family val="2"/>
    </font>
    <font>
      <b/>
      <sz val="26"/>
      <color indexed="53"/>
      <name val="Calibri"/>
      <family val="2"/>
    </font>
    <font>
      <b/>
      <sz val="11"/>
      <name val="Calibri"/>
      <family val="2"/>
    </font>
    <font>
      <b/>
      <sz val="11"/>
      <color indexed="9"/>
      <name val="Calibri"/>
      <family val="2"/>
    </font>
    <font>
      <sz val="11"/>
      <color indexed="9"/>
      <name val="Calibri"/>
      <family val="2"/>
    </font>
    <font>
      <sz val="11"/>
      <color indexed="8"/>
      <name val="Calibri"/>
      <family val="2"/>
    </font>
    <font>
      <i/>
      <sz val="11"/>
      <color indexed="63"/>
      <name val="Calibri"/>
      <family val="2"/>
    </font>
    <font>
      <b/>
      <sz val="11"/>
      <color indexed="53"/>
      <name val="Calibri"/>
      <family val="2"/>
    </font>
    <font>
      <b/>
      <sz val="36"/>
      <color indexed="53"/>
      <name val="Calibri"/>
      <family val="2"/>
    </font>
    <font>
      <sz val="10"/>
      <color indexed="9"/>
      <name val="Arial"/>
      <family val="2"/>
    </font>
    <font>
      <b/>
      <sz val="36"/>
      <color indexed="9"/>
      <name val="Calibri"/>
      <family val="2"/>
    </font>
    <font>
      <i/>
      <sz val="10"/>
      <color indexed="62"/>
      <name val="Calibri"/>
      <family val="2"/>
    </font>
    <font>
      <b/>
      <sz val="11"/>
      <color indexed="8"/>
      <name val="Calibri"/>
      <family val="2"/>
    </font>
    <font>
      <sz val="10"/>
      <color indexed="9"/>
      <name val="Calibri"/>
      <family val="2"/>
    </font>
    <font>
      <sz val="10"/>
      <color indexed="8"/>
      <name val="Calibri"/>
      <family val="2"/>
    </font>
    <font>
      <b/>
      <sz val="10"/>
      <color indexed="9"/>
      <name val="Calibri"/>
      <family val="2"/>
    </font>
    <font>
      <sz val="10"/>
      <name val="Calibri"/>
      <family val="2"/>
    </font>
    <font>
      <sz val="10"/>
      <name val="Arial"/>
      <family val="2"/>
    </font>
    <font>
      <sz val="11"/>
      <color theme="0"/>
      <name val="Calibri"/>
      <family val="2"/>
      <scheme val="minor"/>
    </font>
    <font>
      <b/>
      <sz val="11"/>
      <color theme="0"/>
      <name val="Calibri"/>
      <family val="2"/>
      <scheme val="minor"/>
    </font>
    <font>
      <b/>
      <sz val="11"/>
      <color rgb="FFFF6600"/>
      <name val="Calibri"/>
      <family val="2"/>
    </font>
    <font>
      <b/>
      <sz val="11"/>
      <color rgb="FF232572"/>
      <name val="Calibri"/>
      <family val="2"/>
    </font>
    <font>
      <sz val="20"/>
      <color rgb="FFFF6600"/>
      <name val="Calibri"/>
      <family val="2"/>
      <scheme val="minor"/>
    </font>
    <font>
      <sz val="11"/>
      <color rgb="FF232572"/>
      <name val="Calibri"/>
      <family val="2"/>
      <scheme val="minor"/>
    </font>
    <font>
      <sz val="11"/>
      <color rgb="FF232572"/>
      <name val="Calibri"/>
      <family val="2"/>
    </font>
    <font>
      <sz val="11"/>
      <color rgb="FFFF6600"/>
      <name val="Calibri"/>
      <family val="2"/>
      <scheme val="minor"/>
    </font>
    <font>
      <b/>
      <sz val="11"/>
      <color rgb="FF232572"/>
      <name val="Calibri"/>
      <family val="2"/>
      <scheme val="minor"/>
    </font>
    <font>
      <sz val="11"/>
      <name val="Calibri"/>
      <family val="2"/>
      <scheme val="minor"/>
    </font>
    <font>
      <b/>
      <u/>
      <sz val="11"/>
      <color theme="0"/>
      <name val="Calibri"/>
      <family val="2"/>
      <scheme val="minor"/>
    </font>
    <font>
      <b/>
      <sz val="18"/>
      <color rgb="FFFF6600"/>
      <name val="Calibri"/>
      <family val="2"/>
      <scheme val="minor"/>
    </font>
    <font>
      <sz val="10"/>
      <name val="Calibri"/>
      <family val="2"/>
      <scheme val="minor"/>
    </font>
    <font>
      <sz val="10"/>
      <color rgb="FF232572"/>
      <name val="Calibri"/>
      <family val="2"/>
      <scheme val="minor"/>
    </font>
    <font>
      <b/>
      <sz val="10"/>
      <color rgb="FF232572"/>
      <name val="Calibri"/>
      <family val="2"/>
      <scheme val="minor"/>
    </font>
    <font>
      <b/>
      <sz val="10"/>
      <color rgb="FFFF6600"/>
      <name val="Calibri"/>
      <family val="2"/>
      <scheme val="minor"/>
    </font>
    <font>
      <b/>
      <sz val="10"/>
      <color theme="0"/>
      <name val="Calibri"/>
      <family val="2"/>
      <scheme val="minor"/>
    </font>
    <font>
      <i/>
      <sz val="10"/>
      <color rgb="FFFF6600"/>
      <name val="Calibri"/>
      <family val="2"/>
    </font>
    <font>
      <b/>
      <sz val="15"/>
      <color indexed="53"/>
      <name val="Calibri"/>
      <family val="2"/>
    </font>
    <font>
      <sz val="11"/>
      <color theme="1"/>
      <name val="Calibri"/>
      <family val="2"/>
    </font>
    <font>
      <sz val="10"/>
      <color rgb="FF7030A0"/>
      <name val="Arial"/>
      <family val="2"/>
    </font>
    <font>
      <sz val="10"/>
      <color rgb="FFFF0000"/>
      <name val="Arial"/>
      <family val="2"/>
    </font>
    <font>
      <b/>
      <sz val="10"/>
      <name val="Calibri"/>
      <family val="2"/>
    </font>
    <font>
      <i/>
      <sz val="10"/>
      <name val="Calibri"/>
      <family val="2"/>
    </font>
    <font>
      <sz val="10"/>
      <color theme="1"/>
      <name val="Arial"/>
      <family val="2"/>
    </font>
    <font>
      <i/>
      <sz val="9"/>
      <color indexed="62"/>
      <name val="Arial"/>
      <family val="2"/>
    </font>
    <font>
      <b/>
      <sz val="26"/>
      <color indexed="53"/>
      <name val="Arial"/>
      <family val="2"/>
    </font>
    <font>
      <b/>
      <sz val="10"/>
      <color indexed="62"/>
      <name val="Arial"/>
      <family val="2"/>
    </font>
    <font>
      <b/>
      <sz val="9"/>
      <color indexed="62"/>
      <name val="Arial"/>
      <family val="2"/>
    </font>
    <font>
      <sz val="18"/>
      <color rgb="FFFF6600"/>
      <name val="Arial"/>
      <family val="2"/>
    </font>
    <font>
      <b/>
      <sz val="12"/>
      <color rgb="FF232572"/>
      <name val="Arial"/>
      <family val="2"/>
    </font>
    <font>
      <sz val="10"/>
      <color rgb="FF232572"/>
      <name val="Arial"/>
      <family val="2"/>
    </font>
    <font>
      <sz val="18"/>
      <color indexed="53"/>
      <name val="Arial"/>
      <family val="2"/>
    </font>
    <font>
      <sz val="10"/>
      <color indexed="62"/>
      <name val="Arial"/>
      <family val="2"/>
    </font>
    <font>
      <b/>
      <u/>
      <sz val="12"/>
      <color rgb="FFFF6600"/>
      <name val="Arial"/>
      <family val="2"/>
    </font>
    <font>
      <i/>
      <sz val="8"/>
      <color indexed="62"/>
      <name val="Arial"/>
      <family val="2"/>
    </font>
    <font>
      <b/>
      <sz val="26"/>
      <color rgb="FFFF6600"/>
      <name val="Arial"/>
      <family val="2"/>
    </font>
    <font>
      <b/>
      <sz val="10"/>
      <color rgb="FFFF6600"/>
      <name val="Arial"/>
      <family val="2"/>
    </font>
    <font>
      <sz val="9"/>
      <name val="Arial"/>
      <family val="2"/>
    </font>
    <font>
      <sz val="9"/>
      <color indexed="62"/>
      <name val="Arial"/>
      <family val="2"/>
    </font>
    <font>
      <b/>
      <sz val="9"/>
      <color indexed="53"/>
      <name val="Arial"/>
      <family val="2"/>
    </font>
    <font>
      <sz val="9"/>
      <color indexed="8"/>
      <name val="Arial"/>
      <family val="2"/>
    </font>
    <font>
      <i/>
      <sz val="10"/>
      <color indexed="62"/>
      <name val="Arial"/>
      <family val="2"/>
    </font>
    <font>
      <b/>
      <sz val="10"/>
      <color indexed="53"/>
      <name val="Arial"/>
      <family val="2"/>
    </font>
    <font>
      <sz val="10"/>
      <color indexed="8"/>
      <name val="Arial"/>
      <family val="2"/>
    </font>
    <font>
      <b/>
      <u/>
      <sz val="10"/>
      <color rgb="FF666666"/>
      <name val="Arial"/>
      <family val="2"/>
    </font>
    <font>
      <b/>
      <sz val="10"/>
      <color indexed="10"/>
      <name val="Arial"/>
      <family val="2"/>
    </font>
    <font>
      <b/>
      <sz val="9"/>
      <color indexed="10"/>
      <name val="Arial"/>
      <family val="2"/>
    </font>
    <font>
      <i/>
      <sz val="9"/>
      <color rgb="FFFF6600"/>
      <name val="Arial"/>
      <family val="2"/>
    </font>
    <font>
      <sz val="9"/>
      <color theme="0"/>
      <name val="Arial"/>
      <family val="2"/>
    </font>
    <font>
      <sz val="9"/>
      <color rgb="FFFF0000"/>
      <name val="Arial"/>
      <family val="2"/>
    </font>
    <font>
      <b/>
      <sz val="9"/>
      <color indexed="8"/>
      <name val="Arial"/>
      <family val="2"/>
    </font>
    <font>
      <b/>
      <u/>
      <sz val="9"/>
      <color rgb="FF666666"/>
      <name val="Arial"/>
      <family val="2"/>
    </font>
    <font>
      <b/>
      <sz val="10"/>
      <color rgb="FF232572"/>
      <name val="Arial"/>
      <family val="2"/>
    </font>
    <font>
      <b/>
      <i/>
      <sz val="10"/>
      <color indexed="62"/>
      <name val="Arial"/>
      <family val="2"/>
    </font>
    <font>
      <sz val="10"/>
      <color indexed="53"/>
      <name val="Arial"/>
      <family val="2"/>
    </font>
    <font>
      <b/>
      <sz val="10"/>
      <name val="Arial"/>
      <family val="2"/>
    </font>
    <font>
      <sz val="10"/>
      <color rgb="FF444444"/>
      <name val="Arial"/>
      <family val="2"/>
    </font>
    <font>
      <sz val="10"/>
      <color indexed="56"/>
      <name val="Arial"/>
      <family val="2"/>
    </font>
    <font>
      <b/>
      <sz val="10"/>
      <color indexed="56"/>
      <name val="Arial"/>
      <family val="2"/>
    </font>
    <font>
      <b/>
      <sz val="10"/>
      <color indexed="9"/>
      <name val="Arial"/>
      <family val="2"/>
    </font>
    <font>
      <i/>
      <sz val="10"/>
      <name val="Arial"/>
      <family val="2"/>
    </font>
    <font>
      <b/>
      <sz val="10"/>
      <color theme="1"/>
      <name val="Arial"/>
      <family val="2"/>
    </font>
    <font>
      <u/>
      <sz val="10"/>
      <color theme="1"/>
      <name val="Arial"/>
      <family val="2"/>
    </font>
    <font>
      <sz val="8"/>
      <color theme="1"/>
      <name val="Arial"/>
      <family val="2"/>
    </font>
  </fonts>
  <fills count="25">
    <fill>
      <patternFill patternType="none"/>
    </fill>
    <fill>
      <patternFill patternType="gray125"/>
    </fill>
    <fill>
      <patternFill patternType="solid">
        <fgColor indexed="9"/>
        <bgColor indexed="26"/>
      </patternFill>
    </fill>
    <fill>
      <patternFill patternType="solid">
        <fgColor indexed="27"/>
        <bgColor indexed="42"/>
      </patternFill>
    </fill>
    <fill>
      <patternFill patternType="solid">
        <fgColor indexed="26"/>
        <bgColor indexed="27"/>
      </patternFill>
    </fill>
    <fill>
      <patternFill patternType="solid">
        <fgColor indexed="44"/>
        <bgColor indexed="31"/>
      </patternFill>
    </fill>
    <fill>
      <patternFill patternType="solid">
        <fgColor theme="4" tint="0.79998168889431442"/>
        <bgColor indexed="27"/>
      </patternFill>
    </fill>
    <fill>
      <patternFill patternType="solid">
        <fgColor theme="0" tint="-0.14999847407452621"/>
        <bgColor indexed="44"/>
      </patternFill>
    </fill>
    <fill>
      <patternFill patternType="solid">
        <fgColor rgb="FF666666"/>
        <bgColor indexed="23"/>
      </patternFill>
    </fill>
    <fill>
      <patternFill patternType="solid">
        <fgColor rgb="FF666666"/>
        <bgColor indexed="26"/>
      </patternFill>
    </fill>
    <fill>
      <patternFill patternType="solid">
        <fgColor rgb="FF666666"/>
        <bgColor indexed="64"/>
      </patternFill>
    </fill>
    <fill>
      <patternFill patternType="solid">
        <fgColor theme="4" tint="0.79998168889431442"/>
        <bgColor indexed="42"/>
      </patternFill>
    </fill>
    <fill>
      <patternFill patternType="solid">
        <fgColor theme="0" tint="-0.14999847407452621"/>
        <bgColor indexed="31"/>
      </patternFill>
    </fill>
    <fill>
      <patternFill patternType="solid">
        <fgColor theme="0" tint="-0.14999847407452621"/>
        <bgColor indexed="42"/>
      </patternFill>
    </fill>
    <fill>
      <patternFill patternType="solid">
        <fgColor theme="0"/>
        <bgColor indexed="31"/>
      </patternFill>
    </fill>
    <fill>
      <patternFill patternType="solid">
        <fgColor theme="0"/>
        <bgColor indexed="42"/>
      </patternFill>
    </fill>
    <fill>
      <patternFill patternType="solid">
        <fgColor theme="0"/>
        <bgColor indexed="26"/>
      </patternFill>
    </fill>
    <fill>
      <patternFill patternType="solid">
        <fgColor theme="0" tint="-0.14999847407452621"/>
        <bgColor indexed="26"/>
      </patternFill>
    </fill>
    <fill>
      <patternFill patternType="solid">
        <fgColor theme="0"/>
        <bgColor indexed="62"/>
      </patternFill>
    </fill>
    <fill>
      <patternFill patternType="solid">
        <fgColor theme="0"/>
        <bgColor indexed="64"/>
      </patternFill>
    </fill>
    <fill>
      <patternFill patternType="solid">
        <fgColor rgb="FF23257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56"/>
      </patternFill>
    </fill>
    <fill>
      <patternFill patternType="solid">
        <fgColor rgb="FF7030A0"/>
        <bgColor indexed="64"/>
      </patternFill>
    </fill>
  </fills>
  <borders count="28">
    <border>
      <left/>
      <right/>
      <top/>
      <bottom/>
      <diagonal/>
    </border>
    <border>
      <left style="double">
        <color indexed="54"/>
      </left>
      <right style="double">
        <color indexed="54"/>
      </right>
      <top style="double">
        <color indexed="54"/>
      </top>
      <bottom style="double">
        <color indexed="54"/>
      </bottom>
      <diagonal/>
    </border>
    <border>
      <left/>
      <right/>
      <top/>
      <bottom style="thin">
        <color indexed="54"/>
      </bottom>
      <diagonal/>
    </border>
    <border>
      <left/>
      <right/>
      <top style="thin">
        <color indexed="54"/>
      </top>
      <bottom/>
      <diagonal/>
    </border>
    <border>
      <left/>
      <right/>
      <top style="thin">
        <color indexed="55"/>
      </top>
      <bottom/>
      <diagonal/>
    </border>
    <border>
      <left style="thin">
        <color indexed="64"/>
      </left>
      <right style="thin">
        <color indexed="64"/>
      </right>
      <top style="thin">
        <color indexed="64"/>
      </top>
      <bottom style="thin">
        <color indexed="64"/>
      </bottom>
      <diagonal/>
    </border>
    <border>
      <left style="double">
        <color theme="0" tint="-0.34998626667073579"/>
      </left>
      <right/>
      <top/>
      <bottom/>
      <diagonal/>
    </border>
    <border>
      <left style="double">
        <color theme="0" tint="-0.34998626667073579"/>
      </left>
      <right style="double">
        <color theme="0" tint="-0.34998626667073579"/>
      </right>
      <top/>
      <bottom/>
      <diagonal/>
    </border>
    <border>
      <left style="double">
        <color rgb="FF666666"/>
      </left>
      <right style="thin">
        <color rgb="FF666666"/>
      </right>
      <top style="double">
        <color rgb="FF666666"/>
      </top>
      <bottom style="thin">
        <color rgb="FF666666"/>
      </bottom>
      <diagonal/>
    </border>
    <border>
      <left style="thin">
        <color rgb="FF666666"/>
      </left>
      <right style="thin">
        <color rgb="FF666666"/>
      </right>
      <top style="double">
        <color rgb="FF666666"/>
      </top>
      <bottom style="thin">
        <color rgb="FF666666"/>
      </bottom>
      <diagonal/>
    </border>
    <border>
      <left style="thin">
        <color rgb="FF666666"/>
      </left>
      <right style="double">
        <color rgb="FF666666"/>
      </right>
      <top style="double">
        <color rgb="FF666666"/>
      </top>
      <bottom style="thin">
        <color rgb="FF666666"/>
      </bottom>
      <diagonal/>
    </border>
    <border>
      <left style="double">
        <color rgb="FF666666"/>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style="double">
        <color rgb="FF666666"/>
      </right>
      <top style="thin">
        <color rgb="FF666666"/>
      </top>
      <bottom style="thin">
        <color rgb="FF666666"/>
      </bottom>
      <diagonal/>
    </border>
    <border>
      <left style="double">
        <color rgb="FF666666"/>
      </left>
      <right style="thin">
        <color rgb="FF666666"/>
      </right>
      <top style="thin">
        <color rgb="FF666666"/>
      </top>
      <bottom style="double">
        <color rgb="FF666666"/>
      </bottom>
      <diagonal/>
    </border>
    <border>
      <left style="thin">
        <color rgb="FF666666"/>
      </left>
      <right style="thin">
        <color rgb="FF666666"/>
      </right>
      <top style="thin">
        <color rgb="FF666666"/>
      </top>
      <bottom style="double">
        <color rgb="FF666666"/>
      </bottom>
      <diagonal/>
    </border>
    <border>
      <left style="thin">
        <color rgb="FF666666"/>
      </left>
      <right style="double">
        <color rgb="FF666666"/>
      </right>
      <top style="thin">
        <color rgb="FF666666"/>
      </top>
      <bottom style="double">
        <color rgb="FF666666"/>
      </bottom>
      <diagonal/>
    </border>
    <border>
      <left style="double">
        <color rgb="FF666666"/>
      </left>
      <right style="thin">
        <color rgb="FF666666"/>
      </right>
      <top style="thin">
        <color rgb="FF666666"/>
      </top>
      <bottom/>
      <diagonal/>
    </border>
    <border>
      <left style="thin">
        <color rgb="FF666666"/>
      </left>
      <right style="thin">
        <color rgb="FF666666"/>
      </right>
      <top style="thin">
        <color rgb="FF666666"/>
      </top>
      <bottom/>
      <diagonal/>
    </border>
    <border>
      <left style="thin">
        <color rgb="FF666666"/>
      </left>
      <right style="thin">
        <color rgb="FF666666"/>
      </right>
      <top/>
      <bottom style="double">
        <color rgb="FF666666"/>
      </bottom>
      <diagonal/>
    </border>
    <border>
      <left/>
      <right/>
      <top/>
      <bottom style="thin">
        <color rgb="FFC5C6ED"/>
      </bottom>
      <diagonal/>
    </border>
    <border>
      <left/>
      <right style="thin">
        <color theme="0"/>
      </right>
      <top/>
      <bottom style="thin">
        <color rgb="FFC5C6ED"/>
      </bottom>
      <diagonal/>
    </border>
    <border>
      <left style="thin">
        <color theme="0"/>
      </left>
      <right style="thin">
        <color theme="0"/>
      </right>
      <top/>
      <bottom style="thin">
        <color rgb="FFC5C6ED"/>
      </bottom>
      <diagonal/>
    </border>
    <border>
      <left style="thin">
        <color theme="0"/>
      </left>
      <right/>
      <top/>
      <bottom style="thin">
        <color rgb="FFC5C6ED"/>
      </bottom>
      <diagonal/>
    </border>
    <border>
      <left/>
      <right style="thin">
        <color theme="0"/>
      </right>
      <top style="thin">
        <color rgb="FFC5C6ED"/>
      </top>
      <bottom style="thin">
        <color rgb="FFC5C6ED"/>
      </bottom>
      <diagonal/>
    </border>
    <border>
      <left style="thin">
        <color theme="0"/>
      </left>
      <right style="thin">
        <color theme="0"/>
      </right>
      <top style="thin">
        <color rgb="FFC5C6ED"/>
      </top>
      <bottom style="thin">
        <color rgb="FFC5C6ED"/>
      </bottom>
      <diagonal/>
    </border>
    <border>
      <left style="thin">
        <color theme="0"/>
      </left>
      <right/>
      <top style="thin">
        <color rgb="FFC5C6ED"/>
      </top>
      <bottom style="thin">
        <color rgb="FFC5C6ED"/>
      </bottom>
      <diagonal/>
    </border>
    <border>
      <left/>
      <right/>
      <top style="thin">
        <color rgb="FFC5C6ED"/>
      </top>
      <bottom style="thin">
        <color rgb="FFC5C6ED"/>
      </bottom>
      <diagonal/>
    </border>
  </borders>
  <cellStyleXfs count="12">
    <xf numFmtId="0" fontId="0" fillId="0" borderId="0"/>
    <xf numFmtId="0" fontId="1" fillId="0" borderId="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1" fillId="0" borderId="0" applyFill="0" applyBorder="0" applyAlignment="0" applyProtection="0"/>
    <xf numFmtId="9" fontId="1" fillId="0" borderId="0" applyFill="0" applyBorder="0" applyAlignment="0" applyProtection="0"/>
    <xf numFmtId="0" fontId="28" fillId="0" borderId="0"/>
    <xf numFmtId="0" fontId="28" fillId="0" borderId="0"/>
    <xf numFmtId="164" fontId="1" fillId="0" borderId="0" applyFill="0" applyBorder="0" applyAlignment="0" applyProtection="0"/>
    <xf numFmtId="0" fontId="48" fillId="0" borderId="0"/>
    <xf numFmtId="9" fontId="28" fillId="0" borderId="0" applyFont="0" applyFill="0" applyBorder="0" applyAlignment="0" applyProtection="0"/>
  </cellStyleXfs>
  <cellXfs count="419">
    <xf numFmtId="0" fontId="0" fillId="0" borderId="0" xfId="0"/>
    <xf numFmtId="0" fontId="3" fillId="2" borderId="0" xfId="7" applyFont="1" applyFill="1" applyAlignment="1">
      <alignment vertical="center"/>
    </xf>
    <xf numFmtId="0" fontId="4" fillId="2" borderId="0" xfId="7" applyFont="1" applyFill="1" applyAlignment="1">
      <alignment vertical="center"/>
    </xf>
    <xf numFmtId="0" fontId="3" fillId="2" borderId="0" xfId="7" applyFont="1" applyFill="1"/>
    <xf numFmtId="0" fontId="6" fillId="2" borderId="0" xfId="7" applyFont="1" applyFill="1" applyAlignment="1">
      <alignment vertical="center"/>
    </xf>
    <xf numFmtId="0" fontId="7" fillId="2" borderId="0" xfId="7" applyFont="1" applyFill="1" applyAlignment="1">
      <alignment vertical="center"/>
    </xf>
    <xf numFmtId="0" fontId="5" fillId="2" borderId="0" xfId="7" applyFont="1" applyFill="1" applyAlignment="1">
      <alignment vertical="center" wrapText="1"/>
    </xf>
    <xf numFmtId="0" fontId="6" fillId="2" borderId="0" xfId="3" applyFont="1" applyFill="1" applyAlignment="1">
      <alignment vertical="center" wrapText="1"/>
    </xf>
    <xf numFmtId="0" fontId="1" fillId="2" borderId="0" xfId="3" applyFill="1" applyAlignment="1">
      <alignment vertical="center" wrapText="1"/>
    </xf>
    <xf numFmtId="0" fontId="7" fillId="2" borderId="0" xfId="7" applyFont="1" applyFill="1" applyAlignment="1">
      <alignment vertical="center" wrapText="1"/>
    </xf>
    <xf numFmtId="0" fontId="5" fillId="2" borderId="0" xfId="7" applyFont="1" applyFill="1" applyAlignment="1">
      <alignment vertical="center"/>
    </xf>
    <xf numFmtId="0" fontId="10" fillId="2" borderId="0" xfId="4" applyFont="1" applyFill="1" applyAlignment="1">
      <alignment vertical="center"/>
    </xf>
    <xf numFmtId="0" fontId="11" fillId="2" borderId="0" xfId="7" applyFont="1" applyFill="1" applyAlignment="1">
      <alignment vertical="center" wrapText="1"/>
    </xf>
    <xf numFmtId="0" fontId="11" fillId="2" borderId="0" xfId="7" applyFont="1" applyFill="1" applyAlignment="1">
      <alignment horizontal="center" vertical="center" wrapText="1"/>
    </xf>
    <xf numFmtId="0" fontId="13" fillId="2" borderId="0" xfId="7" applyFont="1" applyFill="1"/>
    <xf numFmtId="0" fontId="5" fillId="2" borderId="0" xfId="7" applyFont="1" applyFill="1"/>
    <xf numFmtId="0" fontId="11" fillId="2" borderId="0" xfId="7" applyFont="1" applyFill="1"/>
    <xf numFmtId="0" fontId="3" fillId="2" borderId="0" xfId="8" applyFont="1" applyFill="1"/>
    <xf numFmtId="170" fontId="15" fillId="2" borderId="0" xfId="8" applyNumberFormat="1" applyFont="1" applyFill="1"/>
    <xf numFmtId="3" fontId="14" fillId="2" borderId="0" xfId="8" applyNumberFormat="1" applyFont="1" applyFill="1"/>
    <xf numFmtId="0" fontId="16" fillId="2" borderId="0" xfId="7" applyFont="1" applyFill="1"/>
    <xf numFmtId="0" fontId="0" fillId="2" borderId="0" xfId="0" applyFill="1"/>
    <xf numFmtId="0" fontId="0" fillId="2" borderId="0" xfId="0" applyFill="1" applyAlignment="1">
      <alignment wrapText="1"/>
    </xf>
    <xf numFmtId="0" fontId="22" fillId="2" borderId="0" xfId="0" applyFont="1" applyFill="1" applyAlignment="1">
      <alignment horizontal="right"/>
    </xf>
    <xf numFmtId="0" fontId="22" fillId="2" borderId="0" xfId="0" applyFont="1" applyFill="1" applyAlignment="1">
      <alignment horizontal="right" wrapText="1"/>
    </xf>
    <xf numFmtId="0" fontId="3" fillId="2" borderId="0" xfId="0" applyFont="1" applyFill="1" applyAlignment="1">
      <alignment wrapText="1"/>
    </xf>
    <xf numFmtId="0" fontId="3" fillId="2" borderId="0" xfId="0" applyFont="1" applyFill="1"/>
    <xf numFmtId="0" fontId="16" fillId="2" borderId="0" xfId="0" applyFont="1" applyFill="1"/>
    <xf numFmtId="0" fontId="16" fillId="0" borderId="0" xfId="0" applyFont="1"/>
    <xf numFmtId="0" fontId="27" fillId="0" borderId="0" xfId="7" applyFont="1"/>
    <xf numFmtId="0" fontId="21" fillId="8" borderId="0" xfId="7" applyFont="1" applyFill="1" applyAlignment="1">
      <alignment vertical="center"/>
    </xf>
    <xf numFmtId="0" fontId="20" fillId="8" borderId="0" xfId="0" applyFont="1" applyFill="1"/>
    <xf numFmtId="0" fontId="0" fillId="9" borderId="0" xfId="0" applyFill="1"/>
    <xf numFmtId="0" fontId="0" fillId="10" borderId="0" xfId="0" applyFill="1"/>
    <xf numFmtId="0" fontId="15" fillId="8" borderId="0" xfId="0" applyFont="1" applyFill="1"/>
    <xf numFmtId="0" fontId="15" fillId="8" borderId="0" xfId="0" applyFont="1" applyFill="1" applyAlignment="1">
      <alignment wrapText="1"/>
    </xf>
    <xf numFmtId="0" fontId="3" fillId="9" borderId="0" xfId="0" applyFont="1" applyFill="1" applyAlignment="1">
      <alignment wrapText="1"/>
    </xf>
    <xf numFmtId="0" fontId="16" fillId="9" borderId="0" xfId="0" applyFont="1" applyFill="1"/>
    <xf numFmtId="0" fontId="16" fillId="10" borderId="0" xfId="0" applyFont="1" applyFill="1"/>
    <xf numFmtId="0" fontId="24" fillId="8" borderId="0" xfId="0" applyFont="1" applyFill="1"/>
    <xf numFmtId="0" fontId="0" fillId="9" borderId="0" xfId="0" applyFill="1" applyAlignment="1">
      <alignment wrapText="1"/>
    </xf>
    <xf numFmtId="0" fontId="5" fillId="2" borderId="0" xfId="7" applyFont="1" applyFill="1" applyAlignment="1">
      <alignment horizontal="center" vertical="center"/>
    </xf>
    <xf numFmtId="3" fontId="5" fillId="2" borderId="0" xfId="7" applyNumberFormat="1" applyFont="1" applyFill="1" applyAlignment="1">
      <alignment horizontal="right" vertical="center"/>
    </xf>
    <xf numFmtId="165" fontId="5" fillId="2" borderId="0" xfId="7" applyNumberFormat="1" applyFont="1" applyFill="1" applyAlignment="1">
      <alignment horizontal="right" vertical="center"/>
    </xf>
    <xf numFmtId="0" fontId="11" fillId="2" borderId="0" xfId="7" applyFont="1" applyFill="1" applyAlignment="1">
      <alignment vertical="center"/>
    </xf>
    <xf numFmtId="0" fontId="3" fillId="9" borderId="0" xfId="7" applyFont="1" applyFill="1"/>
    <xf numFmtId="0" fontId="3" fillId="9" borderId="0" xfId="7" applyFont="1" applyFill="1" applyAlignment="1">
      <alignment vertical="center"/>
    </xf>
    <xf numFmtId="0" fontId="8" fillId="9" borderId="0" xfId="7" applyFont="1" applyFill="1" applyAlignment="1">
      <alignment vertical="center"/>
    </xf>
    <xf numFmtId="0" fontId="5" fillId="9" borderId="0" xfId="7" applyFont="1" applyFill="1" applyAlignment="1">
      <alignment vertical="center"/>
    </xf>
    <xf numFmtId="0" fontId="19" fillId="2" borderId="0" xfId="7" applyFont="1" applyFill="1" applyAlignment="1">
      <alignment vertical="center"/>
    </xf>
    <xf numFmtId="0" fontId="22" fillId="2" borderId="0" xfId="0" applyFont="1" applyFill="1" applyAlignment="1">
      <alignment horizontal="left"/>
    </xf>
    <xf numFmtId="168" fontId="0" fillId="2" borderId="0" xfId="0" applyNumberFormat="1" applyFill="1"/>
    <xf numFmtId="10" fontId="22" fillId="2" borderId="0" xfId="0" applyNumberFormat="1" applyFont="1" applyFill="1" applyAlignment="1">
      <alignment horizontal="right"/>
    </xf>
    <xf numFmtId="0" fontId="23" fillId="2" borderId="0" xfId="0" applyFont="1" applyFill="1"/>
    <xf numFmtId="0" fontId="12" fillId="2" borderId="0" xfId="7" applyFont="1" applyFill="1" applyAlignment="1">
      <alignment vertical="center"/>
    </xf>
    <xf numFmtId="0" fontId="4" fillId="2" borderId="0" xfId="8" applyFont="1" applyFill="1" applyAlignment="1">
      <alignment vertical="center"/>
    </xf>
    <xf numFmtId="0" fontId="3" fillId="2" borderId="0" xfId="8" applyFont="1" applyFill="1" applyAlignment="1">
      <alignment vertical="center"/>
    </xf>
    <xf numFmtId="0" fontId="33" fillId="19" borderId="0" xfId="7" applyFont="1" applyFill="1" applyAlignment="1">
      <alignment vertical="center"/>
    </xf>
    <xf numFmtId="0" fontId="34" fillId="19" borderId="0" xfId="7" applyFont="1" applyFill="1" applyAlignment="1">
      <alignment vertical="center" wrapText="1"/>
    </xf>
    <xf numFmtId="0" fontId="34" fillId="19" borderId="6" xfId="7" applyFont="1" applyFill="1" applyBorder="1" applyAlignment="1">
      <alignment vertical="center"/>
    </xf>
    <xf numFmtId="0" fontId="33" fillId="19" borderId="0" xfId="7" applyFont="1" applyFill="1" applyAlignment="1">
      <alignment vertical="center" wrapText="1"/>
    </xf>
    <xf numFmtId="0" fontId="34" fillId="19" borderId="0" xfId="7" applyFont="1" applyFill="1" applyAlignment="1">
      <alignment vertical="center"/>
    </xf>
    <xf numFmtId="0" fontId="35" fillId="19" borderId="0" xfId="7" applyFont="1" applyFill="1" applyAlignment="1">
      <alignment vertical="center" wrapText="1"/>
    </xf>
    <xf numFmtId="0" fontId="36" fillId="19" borderId="0" xfId="7" applyFont="1" applyFill="1" applyAlignment="1">
      <alignment vertical="top" wrapText="1"/>
    </xf>
    <xf numFmtId="0" fontId="37" fillId="19" borderId="0" xfId="7" applyFont="1" applyFill="1" applyAlignment="1">
      <alignment vertical="top" wrapText="1"/>
    </xf>
    <xf numFmtId="0" fontId="38" fillId="19" borderId="0" xfId="0" applyFont="1" applyFill="1"/>
    <xf numFmtId="0" fontId="38" fillId="0" borderId="0" xfId="0" applyFont="1"/>
    <xf numFmtId="0" fontId="38" fillId="10" borderId="0" xfId="0" applyFont="1" applyFill="1"/>
    <xf numFmtId="0" fontId="30" fillId="20" borderId="8" xfId="0" applyFont="1" applyFill="1" applyBorder="1" applyAlignment="1">
      <alignment horizontal="left"/>
    </xf>
    <xf numFmtId="2" fontId="39" fillId="20" borderId="9" xfId="0" applyNumberFormat="1" applyFont="1" applyFill="1" applyBorder="1"/>
    <xf numFmtId="0" fontId="29" fillId="20" borderId="9" xfId="0" applyFont="1" applyFill="1" applyBorder="1"/>
    <xf numFmtId="0" fontId="29" fillId="20" borderId="10" xfId="0" applyFont="1" applyFill="1" applyBorder="1"/>
    <xf numFmtId="0" fontId="34" fillId="19" borderId="11" xfId="0" applyFont="1" applyFill="1" applyBorder="1" applyAlignment="1">
      <alignment horizontal="left"/>
    </xf>
    <xf numFmtId="10" fontId="34" fillId="21" borderId="12" xfId="5" applyNumberFormat="1" applyFont="1" applyFill="1" applyBorder="1"/>
    <xf numFmtId="10" fontId="34" fillId="21" borderId="12" xfId="0" applyNumberFormat="1" applyFont="1" applyFill="1" applyBorder="1"/>
    <xf numFmtId="10" fontId="34" fillId="21" borderId="13" xfId="5" applyNumberFormat="1" applyFont="1" applyFill="1" applyBorder="1"/>
    <xf numFmtId="4" fontId="34" fillId="21" borderId="12" xfId="0" applyNumberFormat="1" applyFont="1" applyFill="1" applyBorder="1"/>
    <xf numFmtId="4" fontId="34" fillId="21" borderId="13" xfId="0" applyNumberFormat="1" applyFont="1" applyFill="1" applyBorder="1"/>
    <xf numFmtId="0" fontId="34" fillId="19" borderId="11" xfId="0" applyFont="1" applyFill="1" applyBorder="1"/>
    <xf numFmtId="0" fontId="34" fillId="19" borderId="14" xfId="0" applyFont="1" applyFill="1" applyBorder="1"/>
    <xf numFmtId="4" fontId="34" fillId="22" borderId="15" xfId="0" applyNumberFormat="1" applyFont="1" applyFill="1" applyBorder="1"/>
    <xf numFmtId="4" fontId="34" fillId="22" borderId="16" xfId="0" applyNumberFormat="1" applyFont="1" applyFill="1" applyBorder="1"/>
    <xf numFmtId="0" fontId="30" fillId="20" borderId="8" xfId="0" applyFont="1" applyFill="1" applyBorder="1"/>
    <xf numFmtId="0" fontId="30" fillId="20" borderId="9" xfId="0" applyFont="1" applyFill="1" applyBorder="1"/>
    <xf numFmtId="0" fontId="30" fillId="20" borderId="10" xfId="0" applyFont="1" applyFill="1" applyBorder="1"/>
    <xf numFmtId="10" fontId="34" fillId="22" borderId="12" xfId="5" applyNumberFormat="1" applyFont="1" applyFill="1" applyBorder="1"/>
    <xf numFmtId="10" fontId="34" fillId="22" borderId="12" xfId="0" applyNumberFormat="1" applyFont="1" applyFill="1" applyBorder="1"/>
    <xf numFmtId="10" fontId="34" fillId="22" borderId="13" xfId="5" applyNumberFormat="1" applyFont="1" applyFill="1" applyBorder="1"/>
    <xf numFmtId="0" fontId="34" fillId="19" borderId="14" xfId="0" applyFont="1" applyFill="1" applyBorder="1" applyAlignment="1">
      <alignment horizontal="left"/>
    </xf>
    <xf numFmtId="0" fontId="40" fillId="0" borderId="0" xfId="0" applyFont="1"/>
    <xf numFmtId="0" fontId="41" fillId="0" borderId="0" xfId="0" applyFont="1"/>
    <xf numFmtId="0" fontId="42" fillId="0" borderId="0" xfId="0" applyFont="1"/>
    <xf numFmtId="14" fontId="42" fillId="0" borderId="0" xfId="0" applyNumberFormat="1" applyFont="1"/>
    <xf numFmtId="0" fontId="34" fillId="0" borderId="11" xfId="0" applyFont="1" applyBorder="1"/>
    <xf numFmtId="173" fontId="36" fillId="21" borderId="12" xfId="0" applyNumberFormat="1" applyFont="1" applyFill="1" applyBorder="1"/>
    <xf numFmtId="0" fontId="34" fillId="0" borderId="14" xfId="0" applyFont="1" applyBorder="1"/>
    <xf numFmtId="0" fontId="38" fillId="0" borderId="0" xfId="0" applyFont="1" applyAlignment="1">
      <alignment horizontal="left"/>
    </xf>
    <xf numFmtId="0" fontId="43" fillId="0" borderId="0" xfId="0" applyFont="1"/>
    <xf numFmtId="0" fontId="44" fillId="0" borderId="0" xfId="0" applyFont="1"/>
    <xf numFmtId="0" fontId="43" fillId="0" borderId="0" xfId="7" applyFont="1"/>
    <xf numFmtId="174" fontId="44" fillId="0" borderId="0" xfId="7" applyNumberFormat="1" applyFont="1"/>
    <xf numFmtId="0" fontId="42" fillId="0" borderId="0" xfId="7" applyFont="1"/>
    <xf numFmtId="175" fontId="43" fillId="0" borderId="0" xfId="7" applyNumberFormat="1" applyFont="1"/>
    <xf numFmtId="175" fontId="44" fillId="0" borderId="0" xfId="7" applyNumberFormat="1" applyFont="1"/>
    <xf numFmtId="0" fontId="44" fillId="0" borderId="0" xfId="7" applyFont="1"/>
    <xf numFmtId="0" fontId="42" fillId="0" borderId="5" xfId="7" applyFont="1" applyBorder="1"/>
    <xf numFmtId="175" fontId="42" fillId="21" borderId="5" xfId="7" applyNumberFormat="1" applyFont="1" applyFill="1" applyBorder="1"/>
    <xf numFmtId="174" fontId="42" fillId="0" borderId="0" xfId="7" applyNumberFormat="1" applyFont="1"/>
    <xf numFmtId="3" fontId="42" fillId="21" borderId="5" xfId="7" applyNumberFormat="1" applyFont="1" applyFill="1" applyBorder="1"/>
    <xf numFmtId="10" fontId="42" fillId="21" borderId="5" xfId="7" applyNumberFormat="1" applyFont="1" applyFill="1" applyBorder="1"/>
    <xf numFmtId="5" fontId="42" fillId="21" borderId="5" xfId="7" applyNumberFormat="1" applyFont="1" applyFill="1" applyBorder="1" applyAlignment="1">
      <alignment horizontal="right"/>
    </xf>
    <xf numFmtId="175" fontId="42" fillId="0" borderId="0" xfId="7" applyNumberFormat="1" applyFont="1"/>
    <xf numFmtId="0" fontId="25" fillId="19" borderId="0" xfId="0" applyFont="1" applyFill="1"/>
    <xf numFmtId="0" fontId="34" fillId="0" borderId="17" xfId="0" applyFont="1" applyBorder="1"/>
    <xf numFmtId="0" fontId="34" fillId="0" borderId="11" xfId="0" quotePrefix="1" applyFont="1" applyBorder="1"/>
    <xf numFmtId="4" fontId="34" fillId="21" borderId="18" xfId="0" applyNumberFormat="1" applyFont="1" applyFill="1" applyBorder="1"/>
    <xf numFmtId="4" fontId="34" fillId="21" borderId="19" xfId="0" applyNumberFormat="1" applyFont="1" applyFill="1" applyBorder="1"/>
    <xf numFmtId="10" fontId="38" fillId="0" borderId="0" xfId="0" applyNumberFormat="1" applyFont="1"/>
    <xf numFmtId="0" fontId="9" fillId="2" borderId="0" xfId="0" applyFont="1" applyFill="1" applyAlignment="1">
      <alignment horizontal="right" vertical="top"/>
    </xf>
    <xf numFmtId="0" fontId="0" fillId="2" borderId="0" xfId="0" applyFill="1" applyAlignment="1">
      <alignment vertical="top"/>
    </xf>
    <xf numFmtId="0" fontId="47" fillId="2" borderId="0" xfId="7" applyFont="1" applyFill="1" applyAlignment="1">
      <alignment vertical="center"/>
    </xf>
    <xf numFmtId="0" fontId="48" fillId="0" borderId="0" xfId="10"/>
    <xf numFmtId="0" fontId="48" fillId="24" borderId="0" xfId="10" applyFill="1"/>
    <xf numFmtId="0" fontId="48" fillId="24" borderId="0" xfId="10" applyFill="1" applyAlignment="1">
      <alignment horizontal="center" vertical="center" wrapText="1"/>
    </xf>
    <xf numFmtId="0" fontId="48" fillId="0" borderId="0" xfId="10" applyAlignment="1">
      <alignment horizontal="center" vertical="center" wrapText="1"/>
    </xf>
    <xf numFmtId="0" fontId="48" fillId="24" borderId="0" xfId="10" applyFill="1" applyAlignment="1">
      <alignment horizontal="center" vertical="center"/>
    </xf>
    <xf numFmtId="176" fontId="48" fillId="0" borderId="0" xfId="10" applyNumberFormat="1" applyAlignment="1">
      <alignment horizontal="center" vertical="center"/>
    </xf>
    <xf numFmtId="14" fontId="48" fillId="0" borderId="0" xfId="10" applyNumberFormat="1" applyAlignment="1">
      <alignment horizontal="center" vertical="center"/>
    </xf>
    <xf numFmtId="177" fontId="48" fillId="0" borderId="0" xfId="10" applyNumberFormat="1" applyAlignment="1">
      <alignment horizontal="right" vertical="center"/>
    </xf>
    <xf numFmtId="0" fontId="48" fillId="24" borderId="0" xfId="10" applyFill="1" applyAlignment="1">
      <alignment horizontal="right" vertical="center"/>
    </xf>
    <xf numFmtId="8" fontId="48" fillId="0" borderId="0" xfId="10" applyNumberFormat="1" applyAlignment="1">
      <alignment horizontal="right" vertical="center"/>
    </xf>
    <xf numFmtId="178" fontId="48" fillId="0" borderId="0" xfId="10" applyNumberFormat="1" applyAlignment="1">
      <alignment horizontal="right" vertical="center"/>
    </xf>
    <xf numFmtId="8" fontId="48" fillId="0" borderId="0" xfId="10" applyNumberFormat="1" applyAlignment="1">
      <alignment horizontal="center" vertical="center"/>
    </xf>
    <xf numFmtId="179" fontId="48" fillId="0" borderId="0" xfId="10" applyNumberFormat="1" applyAlignment="1">
      <alignment horizontal="center" vertical="center"/>
    </xf>
    <xf numFmtId="0" fontId="48" fillId="0" borderId="0" xfId="10" applyAlignment="1">
      <alignment horizontal="center" vertical="center"/>
    </xf>
    <xf numFmtId="178" fontId="48" fillId="0" borderId="0" xfId="10" applyNumberFormat="1" applyAlignment="1">
      <alignment horizontal="center" vertical="center"/>
    </xf>
    <xf numFmtId="10" fontId="48" fillId="0" borderId="0" xfId="10" applyNumberFormat="1" applyAlignment="1">
      <alignment horizontal="center" vertical="center"/>
    </xf>
    <xf numFmtId="0" fontId="0" fillId="0" borderId="0" xfId="0"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1" fillId="0" borderId="0" xfId="3" applyAlignment="1">
      <alignment vertical="top" wrapText="1"/>
    </xf>
    <xf numFmtId="0" fontId="3" fillId="2" borderId="0" xfId="0" applyFont="1" applyFill="1" applyAlignment="1">
      <alignment vertical="top"/>
    </xf>
    <xf numFmtId="0" fontId="0" fillId="9" borderId="0" xfId="0" applyFill="1" applyAlignment="1">
      <alignment vertical="top"/>
    </xf>
    <xf numFmtId="0" fontId="5" fillId="2" borderId="25" xfId="7" applyFont="1" applyFill="1" applyBorder="1"/>
    <xf numFmtId="0" fontId="1" fillId="2" borderId="0" xfId="3" applyFill="1"/>
    <xf numFmtId="0" fontId="1" fillId="0" borderId="0" xfId="3"/>
    <xf numFmtId="0" fontId="5" fillId="2" borderId="0" xfId="0" applyFont="1" applyFill="1" applyAlignment="1">
      <alignment wrapText="1"/>
    </xf>
    <xf numFmtId="0" fontId="48" fillId="22" borderId="0" xfId="10" applyFill="1" applyAlignment="1">
      <alignment horizontal="center" vertical="center" wrapText="1"/>
    </xf>
    <xf numFmtId="0" fontId="42" fillId="0" borderId="5" xfId="7" applyFont="1" applyBorder="1" applyAlignment="1">
      <alignment horizontal="center"/>
    </xf>
    <xf numFmtId="0" fontId="17" fillId="2" borderId="0" xfId="8" applyFont="1" applyFill="1"/>
    <xf numFmtId="0" fontId="31" fillId="0" borderId="0" xfId="0" applyFont="1" applyAlignment="1">
      <alignment wrapText="1"/>
    </xf>
    <xf numFmtId="0" fontId="26" fillId="23" borderId="0" xfId="0" applyFont="1" applyFill="1"/>
    <xf numFmtId="0" fontId="27" fillId="16" borderId="0" xfId="0" applyFont="1" applyFill="1"/>
    <xf numFmtId="0" fontId="24" fillId="23" borderId="0" xfId="0" applyFont="1" applyFill="1"/>
    <xf numFmtId="9" fontId="25" fillId="19" borderId="0" xfId="0" applyNumberFormat="1" applyFont="1" applyFill="1"/>
    <xf numFmtId="180" fontId="25" fillId="16" borderId="0" xfId="0" applyNumberFormat="1" applyFont="1" applyFill="1"/>
    <xf numFmtId="180" fontId="25" fillId="19" borderId="0" xfId="0" applyNumberFormat="1" applyFont="1" applyFill="1"/>
    <xf numFmtId="1" fontId="25" fillId="16" borderId="0" xfId="0" applyNumberFormat="1" applyFont="1" applyFill="1"/>
    <xf numFmtId="0" fontId="25" fillId="16" borderId="0" xfId="0" applyFont="1" applyFill="1"/>
    <xf numFmtId="0" fontId="51" fillId="23" borderId="0" xfId="0" applyFont="1" applyFill="1"/>
    <xf numFmtId="0" fontId="27" fillId="23" borderId="0" xfId="0" applyFont="1" applyFill="1"/>
    <xf numFmtId="0" fontId="27" fillId="23" borderId="0" xfId="0" applyFont="1" applyFill="1" applyAlignment="1">
      <alignment horizontal="left"/>
    </xf>
    <xf numFmtId="0" fontId="27" fillId="19" borderId="0" xfId="0" applyFont="1" applyFill="1"/>
    <xf numFmtId="0" fontId="32" fillId="23" borderId="0" xfId="7" applyFont="1" applyFill="1"/>
    <xf numFmtId="170" fontId="3" fillId="2" borderId="0" xfId="8" applyNumberFormat="1" applyFont="1" applyFill="1"/>
    <xf numFmtId="0" fontId="52" fillId="2" borderId="0" xfId="0" applyFont="1" applyFill="1" applyAlignment="1">
      <alignment horizontal="right"/>
    </xf>
    <xf numFmtId="4" fontId="34" fillId="21" borderId="15" xfId="0" applyNumberFormat="1" applyFont="1" applyFill="1" applyBorder="1"/>
    <xf numFmtId="4" fontId="34" fillId="21" borderId="16" xfId="0" applyNumberFormat="1" applyFont="1" applyFill="1" applyBorder="1"/>
    <xf numFmtId="0" fontId="34" fillId="0" borderId="0" xfId="0" applyFont="1"/>
    <xf numFmtId="4" fontId="34" fillId="0" borderId="0" xfId="0" applyNumberFormat="1" applyFont="1"/>
    <xf numFmtId="2" fontId="34" fillId="21" borderId="13" xfId="5" applyNumberFormat="1" applyFont="1" applyFill="1" applyBorder="1"/>
    <xf numFmtId="174" fontId="27" fillId="0" borderId="0" xfId="7" applyNumberFormat="1" applyFont="1"/>
    <xf numFmtId="181" fontId="27" fillId="0" borderId="0" xfId="11" applyNumberFormat="1" applyFont="1"/>
    <xf numFmtId="10" fontId="42" fillId="21" borderId="5" xfId="11" applyNumberFormat="1" applyFont="1" applyFill="1" applyBorder="1"/>
    <xf numFmtId="10" fontId="42" fillId="21" borderId="5" xfId="11" applyNumberFormat="1" applyFont="1" applyFill="1" applyBorder="1" applyAlignment="1">
      <alignment horizontal="right"/>
    </xf>
    <xf numFmtId="0" fontId="46" fillId="2" borderId="0" xfId="0" applyFont="1" applyFill="1" applyAlignment="1">
      <alignment vertical="center"/>
    </xf>
    <xf numFmtId="0" fontId="55" fillId="2" borderId="0" xfId="7" applyFont="1" applyFill="1" applyAlignment="1">
      <alignment vertical="center"/>
    </xf>
    <xf numFmtId="0" fontId="56" fillId="2" borderId="0" xfId="7" applyFont="1" applyFill="1" applyAlignment="1">
      <alignment vertical="top" wrapText="1"/>
    </xf>
    <xf numFmtId="0" fontId="58" fillId="19" borderId="0" xfId="7" applyFont="1" applyFill="1" applyAlignment="1">
      <alignment horizontal="center" vertical="center"/>
    </xf>
    <xf numFmtId="0" fontId="59" fillId="19" borderId="0" xfId="7" applyFont="1" applyFill="1" applyAlignment="1" applyProtection="1">
      <alignment horizontal="center" vertical="center" wrapText="1"/>
      <protection locked="0"/>
    </xf>
    <xf numFmtId="0" fontId="58" fillId="19" borderId="0" xfId="7" applyFont="1" applyFill="1" applyAlignment="1">
      <alignment vertical="center"/>
    </xf>
    <xf numFmtId="0" fontId="60" fillId="19" borderId="0" xfId="7" applyFont="1" applyFill="1" applyAlignment="1">
      <alignment vertical="center" wrapText="1"/>
    </xf>
    <xf numFmtId="0" fontId="56" fillId="2" borderId="0" xfId="3" applyFont="1" applyFill="1" applyAlignment="1">
      <alignment vertical="center" wrapText="1"/>
    </xf>
    <xf numFmtId="0" fontId="58" fillId="19" borderId="0" xfId="7" applyFont="1" applyFill="1" applyAlignment="1">
      <alignment vertical="center" wrapText="1"/>
    </xf>
    <xf numFmtId="0" fontId="60" fillId="19" borderId="0" xfId="7" applyFont="1" applyFill="1" applyAlignment="1">
      <alignment vertical="top" wrapText="1"/>
    </xf>
    <xf numFmtId="0" fontId="61" fillId="2" borderId="0" xfId="7" applyFont="1" applyFill="1" applyAlignment="1">
      <alignment vertical="center" wrapText="1"/>
    </xf>
    <xf numFmtId="0" fontId="62" fillId="2" borderId="0" xfId="7" applyFont="1" applyFill="1" applyAlignment="1">
      <alignment vertical="center" wrapText="1"/>
    </xf>
    <xf numFmtId="0" fontId="61" fillId="2" borderId="0" xfId="7" applyFont="1" applyFill="1" applyAlignment="1">
      <alignment vertical="center"/>
    </xf>
    <xf numFmtId="0" fontId="63" fillId="2" borderId="0" xfId="3" applyFont="1" applyFill="1" applyAlignment="1">
      <alignment horizontal="center" vertical="center"/>
    </xf>
    <xf numFmtId="0" fontId="64" fillId="2" borderId="0" xfId="7" applyFont="1" applyFill="1" applyAlignment="1">
      <alignment horizontal="center" vertical="center" wrapText="1"/>
    </xf>
    <xf numFmtId="0" fontId="64" fillId="2" borderId="0" xfId="7" applyFont="1" applyFill="1" applyAlignment="1">
      <alignment vertical="center"/>
    </xf>
    <xf numFmtId="0" fontId="66" fillId="0" borderId="2" xfId="0" applyFont="1" applyBorder="1" applyAlignment="1">
      <alignment wrapText="1"/>
    </xf>
    <xf numFmtId="0" fontId="0" fillId="2" borderId="0" xfId="0" applyFill="1" applyAlignment="1">
      <alignment vertical="top" wrapText="1"/>
    </xf>
    <xf numFmtId="0" fontId="0" fillId="2" borderId="0" xfId="0" applyFill="1" applyAlignment="1">
      <alignment horizontal="right" vertical="top"/>
    </xf>
    <xf numFmtId="0" fontId="0" fillId="2" borderId="2" xfId="0" applyFill="1" applyBorder="1" applyAlignment="1">
      <alignment wrapText="1"/>
    </xf>
    <xf numFmtId="0" fontId="0" fillId="2" borderId="3" xfId="0" applyFill="1" applyBorder="1" applyAlignment="1">
      <alignment wrapText="1"/>
    </xf>
    <xf numFmtId="0" fontId="68" fillId="2" borderId="0" xfId="0" applyFont="1" applyFill="1" applyAlignment="1">
      <alignment wrapText="1"/>
    </xf>
    <xf numFmtId="0" fontId="68" fillId="2" borderId="0" xfId="0" applyFont="1" applyFill="1" applyAlignment="1">
      <alignment vertical="center" wrapText="1"/>
    </xf>
    <xf numFmtId="0" fontId="67" fillId="2" borderId="0" xfId="0" applyFont="1" applyFill="1" applyAlignment="1">
      <alignment wrapText="1"/>
    </xf>
    <xf numFmtId="0" fontId="62" fillId="2" borderId="0" xfId="0" applyFont="1" applyFill="1" applyAlignment="1">
      <alignment horizontal="right" vertical="top"/>
    </xf>
    <xf numFmtId="0" fontId="62" fillId="2" borderId="0" xfId="0" applyFont="1" applyFill="1" applyAlignment="1">
      <alignment wrapText="1"/>
    </xf>
    <xf numFmtId="0" fontId="71" fillId="2" borderId="0" xfId="0" applyFont="1" applyFill="1" applyAlignment="1">
      <alignment horizontal="right" vertical="top"/>
    </xf>
    <xf numFmtId="0" fontId="72" fillId="2" borderId="2" xfId="0" applyFont="1" applyFill="1" applyBorder="1" applyAlignment="1">
      <alignment wrapText="1"/>
    </xf>
    <xf numFmtId="0" fontId="62" fillId="2" borderId="0" xfId="0" applyFont="1" applyFill="1"/>
    <xf numFmtId="0" fontId="62" fillId="2" borderId="0" xfId="0" applyFont="1" applyFill="1" applyAlignment="1">
      <alignment vertical="top" wrapText="1"/>
    </xf>
    <xf numFmtId="0" fontId="62" fillId="2" borderId="2" xfId="0" applyFont="1" applyFill="1" applyBorder="1" applyAlignment="1">
      <alignment wrapText="1"/>
    </xf>
    <xf numFmtId="0" fontId="62" fillId="2" borderId="0" xfId="0" applyFont="1" applyFill="1" applyAlignment="1">
      <alignment vertical="center" wrapText="1"/>
    </xf>
    <xf numFmtId="0" fontId="72" fillId="0" borderId="2" xfId="0" applyFont="1" applyBorder="1" applyAlignment="1">
      <alignment wrapText="1"/>
    </xf>
    <xf numFmtId="0" fontId="73" fillId="2" borderId="0" xfId="0" applyFont="1" applyFill="1" applyAlignment="1">
      <alignment vertical="top"/>
    </xf>
    <xf numFmtId="0" fontId="73" fillId="2" borderId="0" xfId="0" applyFont="1" applyFill="1" applyAlignment="1">
      <alignment wrapText="1"/>
    </xf>
    <xf numFmtId="0" fontId="71" fillId="2" borderId="0" xfId="0" applyFont="1" applyFill="1" applyAlignment="1">
      <alignment horizontal="left" vertical="center"/>
    </xf>
    <xf numFmtId="0" fontId="72" fillId="2" borderId="0" xfId="0" applyFont="1" applyFill="1" applyAlignment="1">
      <alignment wrapText="1"/>
    </xf>
    <xf numFmtId="0" fontId="62" fillId="2" borderId="4" xfId="0" applyFont="1" applyFill="1" applyBorder="1" applyAlignment="1">
      <alignment wrapText="1"/>
    </xf>
    <xf numFmtId="0" fontId="62" fillId="2" borderId="0" xfId="0" applyFont="1" applyFill="1" applyAlignment="1">
      <alignment horizontal="left" vertical="center" wrapText="1"/>
    </xf>
    <xf numFmtId="0" fontId="74" fillId="19" borderId="0" xfId="0" applyFont="1" applyFill="1"/>
    <xf numFmtId="0" fontId="57" fillId="2" borderId="0" xfId="0" applyFont="1" applyFill="1" applyAlignment="1">
      <alignment horizontal="center"/>
    </xf>
    <xf numFmtId="0" fontId="54" fillId="2" borderId="0" xfId="0" applyFont="1" applyFill="1" applyAlignment="1">
      <alignment horizontal="right" vertical="center" wrapText="1"/>
    </xf>
    <xf numFmtId="0" fontId="56" fillId="6" borderId="27" xfId="0" applyFont="1" applyFill="1" applyBorder="1" applyAlignment="1" applyProtection="1">
      <alignment horizontal="center"/>
      <protection locked="0"/>
    </xf>
    <xf numFmtId="0" fontId="72" fillId="2" borderId="0" xfId="7" applyFont="1" applyFill="1" applyAlignment="1">
      <alignment vertical="center"/>
    </xf>
    <xf numFmtId="0" fontId="69" fillId="2" borderId="0" xfId="7" applyFont="1" applyFill="1" applyAlignment="1">
      <alignment vertical="center"/>
    </xf>
    <xf numFmtId="0" fontId="57" fillId="2" borderId="0" xfId="7" applyFont="1" applyFill="1" applyAlignment="1">
      <alignment vertical="center"/>
    </xf>
    <xf numFmtId="0" fontId="76" fillId="2" borderId="0" xfId="0" applyFont="1" applyFill="1" applyAlignment="1">
      <alignment vertical="center" wrapText="1"/>
    </xf>
    <xf numFmtId="0" fontId="67" fillId="2" borderId="0" xfId="0" applyFont="1" applyFill="1" applyAlignment="1">
      <alignment vertical="center" wrapText="1"/>
    </xf>
    <xf numFmtId="0" fontId="68" fillId="2" borderId="0" xfId="0" applyFont="1" applyFill="1"/>
    <xf numFmtId="0" fontId="57" fillId="6" borderId="27" xfId="0" applyFont="1" applyFill="1" applyBorder="1" applyAlignment="1" applyProtection="1">
      <alignment horizontal="center" vertical="center"/>
      <protection locked="0"/>
    </xf>
    <xf numFmtId="0" fontId="54" fillId="2" borderId="0" xfId="0" applyFont="1" applyFill="1" applyAlignment="1">
      <alignment horizontal="left" vertical="center"/>
    </xf>
    <xf numFmtId="0" fontId="77" fillId="2" borderId="0" xfId="0" applyFont="1" applyFill="1" applyAlignment="1">
      <alignment horizontal="center" vertical="center"/>
    </xf>
    <xf numFmtId="0" fontId="67" fillId="2" borderId="0" xfId="0" applyFont="1" applyFill="1"/>
    <xf numFmtId="9" fontId="57" fillId="6" borderId="27" xfId="0" applyNumberFormat="1" applyFont="1" applyFill="1" applyBorder="1" applyAlignment="1" applyProtection="1">
      <alignment horizontal="center" vertical="center"/>
      <protection locked="0"/>
    </xf>
    <xf numFmtId="9" fontId="57" fillId="7" borderId="27" xfId="0" applyNumberFormat="1" applyFont="1" applyFill="1" applyBorder="1" applyAlignment="1">
      <alignment horizontal="center" vertical="center"/>
    </xf>
    <xf numFmtId="9" fontId="68" fillId="2" borderId="0" xfId="0" applyNumberFormat="1" applyFont="1" applyFill="1"/>
    <xf numFmtId="168" fontId="57" fillId="6" borderId="27" xfId="0" applyNumberFormat="1" applyFont="1" applyFill="1" applyBorder="1" applyAlignment="1" applyProtection="1">
      <alignment horizontal="center" vertical="center"/>
      <protection locked="0"/>
    </xf>
    <xf numFmtId="0" fontId="57" fillId="6" borderId="27" xfId="0" applyFont="1" applyFill="1" applyBorder="1" applyAlignment="1" applyProtection="1">
      <alignment horizontal="center" vertical="center" wrapText="1"/>
      <protection locked="0"/>
    </xf>
    <xf numFmtId="0" fontId="78" fillId="16" borderId="0" xfId="0" applyFont="1" applyFill="1" applyAlignment="1">
      <alignment vertical="center" wrapText="1"/>
    </xf>
    <xf numFmtId="0" fontId="68" fillId="2" borderId="0" xfId="0" applyFont="1" applyFill="1" applyAlignment="1">
      <alignment vertical="center"/>
    </xf>
    <xf numFmtId="0" fontId="54" fillId="2" borderId="0" xfId="0" applyFont="1" applyFill="1" applyAlignment="1">
      <alignment horizontal="right" vertical="center"/>
    </xf>
    <xf numFmtId="0" fontId="67" fillId="2" borderId="2" xfId="0" applyFont="1" applyFill="1" applyBorder="1" applyAlignment="1">
      <alignment vertical="center" wrapText="1"/>
    </xf>
    <xf numFmtId="0" fontId="68" fillId="2" borderId="2" xfId="0" applyFont="1" applyFill="1" applyBorder="1" applyAlignment="1">
      <alignment vertical="center"/>
    </xf>
    <xf numFmtId="168" fontId="57" fillId="7" borderId="27" xfId="0" applyNumberFormat="1" applyFont="1" applyFill="1" applyBorder="1" applyAlignment="1">
      <alignment horizontal="center" vertical="center"/>
    </xf>
    <xf numFmtId="0" fontId="68" fillId="2" borderId="2" xfId="0" applyFont="1" applyFill="1" applyBorder="1"/>
    <xf numFmtId="168" fontId="57" fillId="6" borderId="27" xfId="0" applyNumberFormat="1" applyFont="1" applyFill="1" applyBorder="1" applyAlignment="1" applyProtection="1">
      <alignment horizontal="center"/>
      <protection locked="0"/>
    </xf>
    <xf numFmtId="0" fontId="54" fillId="2" borderId="0" xfId="0" applyFont="1" applyFill="1" applyAlignment="1">
      <alignment horizontal="right" wrapText="1"/>
    </xf>
    <xf numFmtId="168" fontId="68" fillId="2" borderId="2" xfId="0" applyNumberFormat="1" applyFont="1" applyFill="1" applyBorder="1" applyAlignment="1">
      <alignment wrapText="1"/>
    </xf>
    <xf numFmtId="168" fontId="68" fillId="2" borderId="0" xfId="0" applyNumberFormat="1" applyFont="1" applyFill="1" applyAlignment="1">
      <alignment wrapText="1"/>
    </xf>
    <xf numFmtId="0" fontId="67" fillId="2" borderId="0" xfId="0" applyFont="1" applyFill="1" applyAlignment="1">
      <alignment vertical="center"/>
    </xf>
    <xf numFmtId="0" fontId="79" fillId="2" borderId="0" xfId="0" applyFont="1" applyFill="1"/>
    <xf numFmtId="0" fontId="78" fillId="2" borderId="0" xfId="0" applyFont="1" applyFill="1" applyAlignment="1">
      <alignment vertical="center"/>
    </xf>
    <xf numFmtId="0" fontId="67" fillId="2" borderId="2" xfId="0" applyFont="1" applyFill="1" applyBorder="1" applyAlignment="1">
      <alignment vertical="center"/>
    </xf>
    <xf numFmtId="0" fontId="78" fillId="2" borderId="2" xfId="0" applyFont="1" applyFill="1" applyBorder="1"/>
    <xf numFmtId="0" fontId="57" fillId="6" borderId="27" xfId="0" applyFont="1" applyFill="1" applyBorder="1" applyAlignment="1" applyProtection="1">
      <alignment horizontal="center"/>
      <protection locked="0"/>
    </xf>
    <xf numFmtId="0" fontId="70" fillId="2" borderId="0" xfId="0" applyFont="1" applyFill="1" applyAlignment="1">
      <alignment vertical="center"/>
    </xf>
    <xf numFmtId="0" fontId="70" fillId="2" borderId="0" xfId="0" applyFont="1" applyFill="1"/>
    <xf numFmtId="0" fontId="80" fillId="2" borderId="0" xfId="0" applyFont="1" applyFill="1" applyAlignment="1">
      <alignment vertical="center" wrapText="1"/>
    </xf>
    <xf numFmtId="0" fontId="54" fillId="2" borderId="0" xfId="0" applyFont="1" applyFill="1" applyAlignment="1">
      <alignment horizontal="right"/>
    </xf>
    <xf numFmtId="168" fontId="57" fillId="7" borderId="27" xfId="0" applyNumberFormat="1" applyFont="1" applyFill="1" applyBorder="1" applyAlignment="1">
      <alignment horizontal="center"/>
    </xf>
    <xf numFmtId="0" fontId="70" fillId="2" borderId="0" xfId="0" applyFont="1" applyFill="1" applyAlignment="1">
      <alignment vertical="center" wrapText="1"/>
    </xf>
    <xf numFmtId="0" fontId="54" fillId="2" borderId="0" xfId="0" applyFont="1" applyFill="1" applyAlignment="1">
      <alignment vertical="center" wrapText="1"/>
    </xf>
    <xf numFmtId="0" fontId="78" fillId="2" borderId="0" xfId="0" applyFont="1" applyFill="1" applyAlignment="1">
      <alignment wrapText="1"/>
    </xf>
    <xf numFmtId="0" fontId="54" fillId="2" borderId="27" xfId="0" applyFont="1" applyFill="1" applyBorder="1" applyAlignment="1">
      <alignment horizontal="right"/>
    </xf>
    <xf numFmtId="9" fontId="57" fillId="6" borderId="27" xfId="0" applyNumberFormat="1" applyFont="1" applyFill="1" applyBorder="1" applyAlignment="1" applyProtection="1">
      <alignment horizontal="center"/>
      <protection locked="0"/>
    </xf>
    <xf numFmtId="0" fontId="57" fillId="4" borderId="1" xfId="0" applyFont="1" applyFill="1" applyBorder="1" applyAlignment="1" applyProtection="1">
      <alignment horizontal="center"/>
      <protection locked="0"/>
    </xf>
    <xf numFmtId="0" fontId="69" fillId="2" borderId="0" xfId="0" applyFont="1" applyFill="1" applyAlignment="1">
      <alignment vertical="center" wrapText="1"/>
    </xf>
    <xf numFmtId="168" fontId="57" fillId="4" borderId="1" xfId="0" applyNumberFormat="1" applyFont="1" applyFill="1" applyBorder="1" applyAlignment="1" applyProtection="1">
      <alignment horizontal="center"/>
      <protection locked="0"/>
    </xf>
    <xf numFmtId="0" fontId="80" fillId="2" borderId="0" xfId="0" applyFont="1" applyFill="1" applyAlignment="1">
      <alignment vertical="center"/>
    </xf>
    <xf numFmtId="0" fontId="81" fillId="19" borderId="0" xfId="0" applyFont="1" applyFill="1"/>
    <xf numFmtId="0" fontId="67" fillId="9" borderId="0" xfId="0" applyFont="1" applyFill="1" applyAlignment="1">
      <alignment vertical="center"/>
    </xf>
    <xf numFmtId="0" fontId="67" fillId="9" borderId="0" xfId="0" applyFont="1" applyFill="1"/>
    <xf numFmtId="0" fontId="67" fillId="9" borderId="0" xfId="0" applyFont="1" applyFill="1" applyAlignment="1">
      <alignment vertical="center" wrapText="1"/>
    </xf>
    <xf numFmtId="0" fontId="68" fillId="9" borderId="0" xfId="0" applyFont="1" applyFill="1"/>
    <xf numFmtId="0" fontId="28" fillId="2" borderId="0" xfId="7" applyFill="1"/>
    <xf numFmtId="0" fontId="82" fillId="23" borderId="21" xfId="7" applyFont="1" applyFill="1" applyBorder="1"/>
    <xf numFmtId="0" fontId="82" fillId="23" borderId="22" xfId="7" applyFont="1" applyFill="1" applyBorder="1" applyAlignment="1">
      <alignment horizontal="center"/>
    </xf>
    <xf numFmtId="0" fontId="82" fillId="23" borderId="22" xfId="7" applyFont="1" applyFill="1" applyBorder="1"/>
    <xf numFmtId="0" fontId="82" fillId="23" borderId="23" xfId="7" applyFont="1" applyFill="1" applyBorder="1" applyAlignment="1">
      <alignment horizontal="center"/>
    </xf>
    <xf numFmtId="0" fontId="62" fillId="2" borderId="0" xfId="7" applyFont="1" applyFill="1"/>
    <xf numFmtId="0" fontId="82" fillId="23" borderId="23" xfId="7" applyFont="1" applyFill="1" applyBorder="1"/>
    <xf numFmtId="0" fontId="62" fillId="2" borderId="24" xfId="7" applyFont="1" applyFill="1" applyBorder="1"/>
    <xf numFmtId="166" fontId="62" fillId="11" borderId="25" xfId="7" applyNumberFormat="1" applyFont="1" applyFill="1" applyBorder="1"/>
    <xf numFmtId="166" fontId="62" fillId="12" borderId="26" xfId="9" applyNumberFormat="1" applyFont="1" applyFill="1" applyBorder="1" applyAlignment="1">
      <alignment horizontal="right"/>
    </xf>
    <xf numFmtId="166" fontId="62" fillId="13" borderId="26" xfId="7" applyNumberFormat="1" applyFont="1" applyFill="1" applyBorder="1"/>
    <xf numFmtId="0" fontId="56" fillId="14" borderId="24" xfId="7" applyFont="1" applyFill="1" applyBorder="1"/>
    <xf numFmtId="166" fontId="56" fillId="12" borderId="26" xfId="7" applyNumberFormat="1" applyFont="1" applyFill="1" applyBorder="1"/>
    <xf numFmtId="0" fontId="56" fillId="2" borderId="0" xfId="7" applyFont="1" applyFill="1"/>
    <xf numFmtId="3" fontId="56" fillId="2" borderId="0" xfId="7" applyNumberFormat="1" applyFont="1" applyFill="1"/>
    <xf numFmtId="166" fontId="62" fillId="2" borderId="25" xfId="7" applyNumberFormat="1" applyFont="1" applyFill="1" applyBorder="1"/>
    <xf numFmtId="166" fontId="62" fillId="3" borderId="25" xfId="7" applyNumberFormat="1" applyFont="1" applyFill="1" applyBorder="1"/>
    <xf numFmtId="0" fontId="60" fillId="23" borderId="23" xfId="7" applyFont="1" applyFill="1" applyBorder="1"/>
    <xf numFmtId="0" fontId="75" fillId="2" borderId="0" xfId="7" applyFont="1" applyFill="1"/>
    <xf numFmtId="0" fontId="71" fillId="2" borderId="0" xfId="7" applyFont="1" applyFill="1"/>
    <xf numFmtId="167" fontId="62" fillId="2" borderId="0" xfId="7" applyNumberFormat="1" applyFont="1" applyFill="1"/>
    <xf numFmtId="0" fontId="56" fillId="14" borderId="21" xfId="7" applyFont="1" applyFill="1" applyBorder="1"/>
    <xf numFmtId="166" fontId="62" fillId="12" borderId="22" xfId="7" applyNumberFormat="1" applyFont="1" applyFill="1" applyBorder="1"/>
    <xf numFmtId="166" fontId="56" fillId="12" borderId="23" xfId="7" applyNumberFormat="1" applyFont="1" applyFill="1" applyBorder="1"/>
    <xf numFmtId="166" fontId="62" fillId="2" borderId="0" xfId="7" applyNumberFormat="1" applyFont="1" applyFill="1"/>
    <xf numFmtId="10" fontId="83" fillId="2" borderId="0" xfId="7" applyNumberFormat="1" applyFont="1" applyFill="1"/>
    <xf numFmtId="1" fontId="62" fillId="2" borderId="0" xfId="9" applyNumberFormat="1" applyFont="1" applyFill="1" applyAlignment="1">
      <alignment horizontal="right"/>
    </xf>
    <xf numFmtId="0" fontId="56" fillId="2" borderId="0" xfId="7" applyFont="1" applyFill="1" applyAlignment="1">
      <alignment horizontal="right"/>
    </xf>
    <xf numFmtId="168" fontId="82" fillId="13" borderId="27" xfId="7" applyNumberFormat="1" applyFont="1" applyFill="1" applyBorder="1" applyAlignment="1">
      <alignment horizontal="center"/>
    </xf>
    <xf numFmtId="0" fontId="62" fillId="2" borderId="24" xfId="7" applyFont="1" applyFill="1" applyBorder="1" applyAlignment="1">
      <alignment horizontal="left"/>
    </xf>
    <xf numFmtId="0" fontId="62" fillId="2" borderId="25" xfId="7" applyFont="1" applyFill="1" applyBorder="1" applyAlignment="1">
      <alignment horizontal="left"/>
    </xf>
    <xf numFmtId="10" fontId="56" fillId="6" borderId="27" xfId="11" applyNumberFormat="1" applyFont="1" applyFill="1" applyBorder="1" applyAlignment="1" applyProtection="1">
      <alignment horizontal="right"/>
      <protection locked="0"/>
    </xf>
    <xf numFmtId="0" fontId="62" fillId="2" borderId="0" xfId="7" applyFont="1" applyFill="1" applyAlignment="1">
      <alignment horizontal="center"/>
    </xf>
    <xf numFmtId="0" fontId="62" fillId="2" borderId="25" xfId="7" applyFont="1" applyFill="1" applyBorder="1"/>
    <xf numFmtId="169" fontId="62" fillId="13" borderId="26" xfId="7" applyNumberFormat="1" applyFont="1" applyFill="1" applyBorder="1"/>
    <xf numFmtId="0" fontId="62" fillId="2" borderId="0" xfId="7" applyFont="1" applyFill="1" applyAlignment="1">
      <alignment horizontal="left"/>
    </xf>
    <xf numFmtId="0" fontId="62" fillId="2" borderId="25" xfId="7" applyFont="1" applyFill="1" applyBorder="1" applyAlignment="1">
      <alignment wrapText="1"/>
    </xf>
    <xf numFmtId="10" fontId="62" fillId="13" borderId="26" xfId="5" applyNumberFormat="1" applyFont="1" applyFill="1" applyBorder="1"/>
    <xf numFmtId="0" fontId="82" fillId="23" borderId="24" xfId="7" applyFont="1" applyFill="1" applyBorder="1"/>
    <xf numFmtId="0" fontId="82" fillId="23" borderId="25" xfId="7" applyFont="1" applyFill="1" applyBorder="1"/>
    <xf numFmtId="0" fontId="60" fillId="23" borderId="26" xfId="7" applyFont="1" applyFill="1" applyBorder="1"/>
    <xf numFmtId="0" fontId="64" fillId="2" borderId="0" xfId="7" applyFont="1" applyFill="1"/>
    <xf numFmtId="0" fontId="55" fillId="2" borderId="0" xfId="8" applyFont="1" applyFill="1" applyAlignment="1">
      <alignment vertical="center"/>
    </xf>
    <xf numFmtId="0" fontId="66" fillId="2" borderId="0" xfId="0" applyFont="1" applyFill="1" applyAlignment="1">
      <alignment horizontal="left"/>
    </xf>
    <xf numFmtId="0" fontId="84" fillId="2" borderId="0" xfId="8" applyFont="1" applyFill="1"/>
    <xf numFmtId="0" fontId="28" fillId="2" borderId="0" xfId="8" applyFill="1"/>
    <xf numFmtId="0" fontId="85" fillId="2" borderId="0" xfId="8" applyFont="1" applyFill="1" applyAlignment="1">
      <alignment horizontal="center"/>
    </xf>
    <xf numFmtId="0" fontId="82" fillId="15" borderId="21" xfId="8" applyFont="1" applyFill="1" applyBorder="1" applyAlignment="1">
      <alignment horizontal="left" vertical="center"/>
    </xf>
    <xf numFmtId="0" fontId="82" fillId="15" borderId="22" xfId="8" applyFont="1" applyFill="1" applyBorder="1" applyAlignment="1">
      <alignment horizontal="center" vertical="center"/>
    </xf>
    <xf numFmtId="0" fontId="82" fillId="15" borderId="23" xfId="8" applyFont="1" applyFill="1" applyBorder="1" applyAlignment="1">
      <alignment horizontal="center" vertical="center"/>
    </xf>
    <xf numFmtId="0" fontId="62" fillId="2" borderId="0" xfId="8" applyFont="1" applyFill="1"/>
    <xf numFmtId="0" fontId="62" fillId="2" borderId="0" xfId="8" applyFont="1" applyFill="1" applyAlignment="1">
      <alignment horizontal="center"/>
    </xf>
    <xf numFmtId="0" fontId="56" fillId="15" borderId="21" xfId="8" applyFont="1" applyFill="1" applyBorder="1" applyAlignment="1">
      <alignment horizontal="left" vertical="center"/>
    </xf>
    <xf numFmtId="166" fontId="56" fillId="13" borderId="22" xfId="8" applyNumberFormat="1" applyFont="1" applyFill="1" applyBorder="1" applyAlignment="1">
      <alignment horizontal="center" vertical="center"/>
    </xf>
    <xf numFmtId="166" fontId="56" fillId="13" borderId="23" xfId="8" applyNumberFormat="1" applyFont="1" applyFill="1" applyBorder="1" applyAlignment="1">
      <alignment horizontal="center" vertical="center"/>
    </xf>
    <xf numFmtId="166" fontId="28" fillId="2" borderId="0" xfId="8" applyNumberFormat="1" applyFill="1"/>
    <xf numFmtId="0" fontId="82" fillId="23" borderId="21" xfId="8" applyFont="1" applyFill="1" applyBorder="1"/>
    <xf numFmtId="166" fontId="60" fillId="23" borderId="22" xfId="8" applyNumberFormat="1" applyFont="1" applyFill="1" applyBorder="1"/>
    <xf numFmtId="166" fontId="82" fillId="23" borderId="23" xfId="8" applyNumberFormat="1" applyFont="1" applyFill="1" applyBorder="1"/>
    <xf numFmtId="0" fontId="62" fillId="2" borderId="24" xfId="8" applyFont="1" applyFill="1" applyBorder="1"/>
    <xf numFmtId="166" fontId="62" fillId="3" borderId="25" xfId="8" applyNumberFormat="1" applyFont="1" applyFill="1" applyBorder="1"/>
    <xf numFmtId="166" fontId="62" fillId="2" borderId="25" xfId="8" applyNumberFormat="1" applyFont="1" applyFill="1" applyBorder="1"/>
    <xf numFmtId="166" fontId="56" fillId="12" borderId="26" xfId="8" applyNumberFormat="1" applyFont="1" applyFill="1" applyBorder="1"/>
    <xf numFmtId="166" fontId="56" fillId="5" borderId="26" xfId="8" applyNumberFormat="1" applyFont="1" applyFill="1" applyBorder="1"/>
    <xf numFmtId="0" fontId="56" fillId="14" borderId="24" xfId="8" applyFont="1" applyFill="1" applyBorder="1"/>
    <xf numFmtId="166" fontId="62" fillId="12" borderId="25" xfId="8" applyNumberFormat="1" applyFont="1" applyFill="1" applyBorder="1"/>
    <xf numFmtId="166" fontId="60" fillId="23" borderId="23" xfId="8" applyNumberFormat="1" applyFont="1" applyFill="1" applyBorder="1"/>
    <xf numFmtId="0" fontId="73" fillId="2" borderId="0" xfId="8" applyFont="1" applyFill="1"/>
    <xf numFmtId="2" fontId="73" fillId="2" borderId="0" xfId="8" applyNumberFormat="1" applyFont="1" applyFill="1"/>
    <xf numFmtId="166" fontId="56" fillId="14" borderId="26" xfId="8" applyNumberFormat="1" applyFont="1" applyFill="1" applyBorder="1"/>
    <xf numFmtId="166" fontId="62" fillId="2" borderId="0" xfId="8" applyNumberFormat="1" applyFont="1" applyFill="1"/>
    <xf numFmtId="0" fontId="56" fillId="14" borderId="21" xfId="8" applyFont="1" applyFill="1" applyBorder="1"/>
    <xf numFmtId="166" fontId="56" fillId="12" borderId="22" xfId="8" applyNumberFormat="1" applyFont="1" applyFill="1" applyBorder="1"/>
    <xf numFmtId="166" fontId="56" fillId="12" borderId="23" xfId="8" applyNumberFormat="1" applyFont="1" applyFill="1" applyBorder="1"/>
    <xf numFmtId="0" fontId="73" fillId="2" borderId="0" xfId="7" applyFont="1" applyFill="1"/>
    <xf numFmtId="0" fontId="66" fillId="23" borderId="21" xfId="7" applyFont="1" applyFill="1" applyBorder="1"/>
    <xf numFmtId="0" fontId="56" fillId="16" borderId="24" xfId="7" applyFont="1" applyFill="1" applyBorder="1"/>
    <xf numFmtId="170" fontId="56" fillId="13" borderId="26" xfId="7" applyNumberFormat="1" applyFont="1" applyFill="1" applyBorder="1"/>
    <xf numFmtId="0" fontId="62" fillId="16" borderId="24" xfId="7" applyFont="1" applyFill="1" applyBorder="1"/>
    <xf numFmtId="170" fontId="62" fillId="13" borderId="26" xfId="7" applyNumberFormat="1" applyFont="1" applyFill="1" applyBorder="1"/>
    <xf numFmtId="170" fontId="56" fillId="12" borderId="26" xfId="7" applyNumberFormat="1" applyFont="1" applyFill="1" applyBorder="1"/>
    <xf numFmtId="170" fontId="28" fillId="2" borderId="0" xfId="7" applyNumberFormat="1" applyFill="1"/>
    <xf numFmtId="0" fontId="71" fillId="16" borderId="24" xfId="7" applyFont="1" applyFill="1" applyBorder="1"/>
    <xf numFmtId="9" fontId="71" fillId="13" borderId="26" xfId="7" applyNumberFormat="1" applyFont="1" applyFill="1" applyBorder="1"/>
    <xf numFmtId="0" fontId="56" fillId="16" borderId="0" xfId="7" applyFont="1" applyFill="1"/>
    <xf numFmtId="170" fontId="56" fillId="2" borderId="0" xfId="7" applyNumberFormat="1" applyFont="1" applyFill="1"/>
    <xf numFmtId="0" fontId="62" fillId="16" borderId="0" xfId="7" applyFont="1" applyFill="1"/>
    <xf numFmtId="170" fontId="62" fillId="2" borderId="0" xfId="7" applyNumberFormat="1" applyFont="1" applyFill="1"/>
    <xf numFmtId="0" fontId="62" fillId="16" borderId="21" xfId="7" applyFont="1" applyFill="1" applyBorder="1"/>
    <xf numFmtId="170" fontId="62" fillId="13" borderId="23" xfId="7" applyNumberFormat="1" applyFont="1" applyFill="1" applyBorder="1"/>
    <xf numFmtId="0" fontId="56" fillId="16" borderId="21" xfId="7" applyFont="1" applyFill="1" applyBorder="1"/>
    <xf numFmtId="170" fontId="56" fillId="13" borderId="23" xfId="7" applyNumberFormat="1" applyFont="1" applyFill="1" applyBorder="1"/>
    <xf numFmtId="0" fontId="86" fillId="0" borderId="0" xfId="0" applyFont="1"/>
    <xf numFmtId="0" fontId="56" fillId="14" borderId="0" xfId="7" applyFont="1" applyFill="1"/>
    <xf numFmtId="170" fontId="56" fillId="13" borderId="0" xfId="7" applyNumberFormat="1" applyFont="1" applyFill="1"/>
    <xf numFmtId="0" fontId="71" fillId="16" borderId="0" xfId="7" applyFont="1" applyFill="1"/>
    <xf numFmtId="0" fontId="55" fillId="2" borderId="0" xfId="7" applyFont="1" applyFill="1" applyAlignment="1">
      <alignment horizontal="left" vertical="center"/>
    </xf>
    <xf numFmtId="0" fontId="64" fillId="2" borderId="0" xfId="7" applyFont="1" applyFill="1" applyAlignment="1">
      <alignment vertical="top"/>
    </xf>
    <xf numFmtId="0" fontId="60" fillId="18" borderId="21" xfId="7" applyFont="1" applyFill="1" applyBorder="1" applyAlignment="1">
      <alignment horizontal="left"/>
    </xf>
    <xf numFmtId="1" fontId="62" fillId="17" borderId="23" xfId="7" applyNumberFormat="1" applyFont="1" applyFill="1" applyBorder="1" applyAlignment="1">
      <alignment horizontal="center" vertical="center"/>
    </xf>
    <xf numFmtId="0" fontId="62" fillId="15" borderId="21" xfId="7" applyFont="1" applyFill="1" applyBorder="1"/>
    <xf numFmtId="0" fontId="62" fillId="15" borderId="22" xfId="7" applyFont="1" applyFill="1" applyBorder="1"/>
    <xf numFmtId="171" fontId="62" fillId="13" borderId="23" xfId="7" applyNumberFormat="1" applyFont="1" applyFill="1" applyBorder="1"/>
    <xf numFmtId="0" fontId="87" fillId="2" borderId="0" xfId="7" applyFont="1" applyFill="1"/>
    <xf numFmtId="0" fontId="60" fillId="18" borderId="24" xfId="7" applyFont="1" applyFill="1" applyBorder="1" applyAlignment="1">
      <alignment horizontal="left"/>
    </xf>
    <xf numFmtId="0" fontId="62" fillId="17" borderId="26" xfId="7" applyFont="1" applyFill="1" applyBorder="1" applyAlignment="1">
      <alignment horizontal="center" vertical="center"/>
    </xf>
    <xf numFmtId="0" fontId="62" fillId="15" borderId="24" xfId="7" applyFont="1" applyFill="1" applyBorder="1"/>
    <xf numFmtId="0" fontId="62" fillId="15" borderId="25" xfId="7" applyFont="1" applyFill="1" applyBorder="1"/>
    <xf numFmtId="171" fontId="62" fillId="13" borderId="26" xfId="7" applyNumberFormat="1" applyFont="1" applyFill="1" applyBorder="1"/>
    <xf numFmtId="0" fontId="88" fillId="2" borderId="0" xfId="7" applyFont="1" applyFill="1" applyAlignment="1">
      <alignment horizontal="center"/>
    </xf>
    <xf numFmtId="168" fontId="62" fillId="17" borderId="26" xfId="7" applyNumberFormat="1" applyFont="1" applyFill="1" applyBorder="1" applyAlignment="1">
      <alignment horizontal="center"/>
    </xf>
    <xf numFmtId="173" fontId="28" fillId="2" borderId="0" xfId="7" applyNumberFormat="1" applyFill="1"/>
    <xf numFmtId="172" fontId="62" fillId="17" borderId="26" xfId="7" applyNumberFormat="1" applyFont="1" applyFill="1" applyBorder="1" applyAlignment="1">
      <alignment horizontal="center"/>
    </xf>
    <xf numFmtId="10" fontId="62" fillId="17" borderId="26" xfId="7" applyNumberFormat="1" applyFont="1" applyFill="1" applyBorder="1" applyAlignment="1">
      <alignment horizontal="center"/>
    </xf>
    <xf numFmtId="0" fontId="56" fillId="2" borderId="0" xfId="7" applyFont="1" applyFill="1" applyAlignment="1">
      <alignment horizontal="center"/>
    </xf>
    <xf numFmtId="169" fontId="62" fillId="17" borderId="26" xfId="7" applyNumberFormat="1" applyFont="1" applyFill="1" applyBorder="1" applyAlignment="1">
      <alignment horizontal="center"/>
    </xf>
    <xf numFmtId="0" fontId="62" fillId="17" borderId="26" xfId="7" applyFont="1" applyFill="1" applyBorder="1" applyAlignment="1">
      <alignment horizontal="center"/>
    </xf>
    <xf numFmtId="9" fontId="88" fillId="2" borderId="0" xfId="7" applyNumberFormat="1" applyFont="1" applyFill="1" applyAlignment="1">
      <alignment horizontal="center"/>
    </xf>
    <xf numFmtId="0" fontId="82" fillId="18" borderId="20" xfId="7" applyFont="1" applyFill="1" applyBorder="1" applyAlignment="1">
      <alignment horizontal="left" vertical="center"/>
    </xf>
    <xf numFmtId="0" fontId="82" fillId="18" borderId="20" xfId="7" applyFont="1" applyFill="1" applyBorder="1" applyAlignment="1">
      <alignment horizontal="center" vertical="center"/>
    </xf>
    <xf numFmtId="0" fontId="89" fillId="18" borderId="27" xfId="7" applyFont="1" applyFill="1" applyBorder="1" applyAlignment="1">
      <alignment horizontal="left" vertical="center"/>
    </xf>
    <xf numFmtId="0" fontId="89" fillId="18" borderId="27" xfId="7" applyFont="1" applyFill="1" applyBorder="1" applyAlignment="1">
      <alignment horizontal="center" vertical="center"/>
    </xf>
    <xf numFmtId="0" fontId="62" fillId="15" borderId="27" xfId="7" applyFont="1" applyFill="1" applyBorder="1" applyAlignment="1">
      <alignment wrapText="1"/>
    </xf>
    <xf numFmtId="168" fontId="62" fillId="17" borderId="27" xfId="1" applyNumberFormat="1" applyFont="1" applyFill="1" applyBorder="1"/>
    <xf numFmtId="164" fontId="62" fillId="17" borderId="27" xfId="1" applyNumberFormat="1" applyFont="1" applyFill="1" applyBorder="1"/>
    <xf numFmtId="164" fontId="62" fillId="13" borderId="27" xfId="1" applyNumberFormat="1" applyFont="1" applyFill="1" applyBorder="1"/>
    <xf numFmtId="0" fontId="62" fillId="15" borderId="27" xfId="7" applyFont="1" applyFill="1" applyBorder="1"/>
    <xf numFmtId="164" fontId="62" fillId="17" borderId="27" xfId="7" applyNumberFormat="1" applyFont="1" applyFill="1" applyBorder="1"/>
    <xf numFmtId="164" fontId="62" fillId="13" borderId="27" xfId="7" applyNumberFormat="1" applyFont="1" applyFill="1" applyBorder="1"/>
    <xf numFmtId="0" fontId="56" fillId="15" borderId="27" xfId="7" applyFont="1" applyFill="1" applyBorder="1" applyAlignment="1">
      <alignment wrapText="1"/>
    </xf>
    <xf numFmtId="164" fontId="56" fillId="17" borderId="27" xfId="1" applyNumberFormat="1" applyFont="1" applyFill="1" applyBorder="1"/>
    <xf numFmtId="164" fontId="56" fillId="13" borderId="27" xfId="1" applyNumberFormat="1" applyFont="1" applyFill="1" applyBorder="1"/>
    <xf numFmtId="0" fontId="90" fillId="2" borderId="0" xfId="7" applyFont="1" applyFill="1"/>
    <xf numFmtId="0" fontId="91" fillId="19" borderId="7" xfId="0" applyFont="1" applyFill="1" applyBorder="1" applyAlignment="1">
      <alignment wrapText="1"/>
    </xf>
    <xf numFmtId="0" fontId="0" fillId="19" borderId="7" xfId="0" applyFill="1" applyBorder="1" applyAlignment="1">
      <alignment vertical="top" wrapText="1"/>
    </xf>
    <xf numFmtId="0" fontId="0" fillId="19" borderId="7" xfId="0" applyFill="1" applyBorder="1"/>
    <xf numFmtId="0" fontId="91" fillId="19" borderId="7" xfId="0" applyFont="1" applyFill="1" applyBorder="1" applyAlignment="1">
      <alignment vertical="center"/>
    </xf>
    <xf numFmtId="0" fontId="0" fillId="19" borderId="7" xfId="0" applyFill="1" applyBorder="1" applyAlignment="1">
      <alignment wrapText="1"/>
    </xf>
    <xf numFmtId="0" fontId="92" fillId="19" borderId="7" xfId="0" applyFont="1" applyFill="1" applyBorder="1"/>
    <xf numFmtId="0" fontId="53" fillId="19" borderId="0" xfId="0" applyFont="1" applyFill="1" applyAlignment="1">
      <alignment vertical="center" wrapText="1"/>
    </xf>
    <xf numFmtId="0" fontId="62" fillId="2" borderId="0" xfId="0" applyFont="1" applyFill="1" applyAlignment="1">
      <alignment wrapText="1"/>
    </xf>
    <xf numFmtId="0" fontId="22" fillId="2" borderId="0" xfId="0" applyFont="1" applyFill="1" applyAlignment="1">
      <alignment horizontal="center" vertical="center"/>
    </xf>
    <xf numFmtId="0" fontId="22" fillId="2" borderId="0" xfId="0" applyFont="1" applyFill="1" applyAlignment="1">
      <alignment horizontal="left" vertical="top" wrapText="1"/>
    </xf>
    <xf numFmtId="0" fontId="17" fillId="2" borderId="0" xfId="8" applyFont="1" applyFill="1"/>
    <xf numFmtId="0" fontId="48" fillId="21" borderId="0" xfId="10" applyFill="1" applyAlignment="1">
      <alignment horizontal="center" vertical="center"/>
    </xf>
    <xf numFmtId="0" fontId="48" fillId="22" borderId="0" xfId="10" applyFill="1" applyAlignment="1">
      <alignment horizontal="center" vertical="center" wrapText="1"/>
    </xf>
    <xf numFmtId="0" fontId="45" fillId="20" borderId="5" xfId="0" applyFont="1" applyFill="1" applyBorder="1" applyAlignment="1">
      <alignment horizontal="center" vertical="center"/>
    </xf>
    <xf numFmtId="0" fontId="42" fillId="0" borderId="5" xfId="7" applyFont="1" applyBorder="1" applyAlignment="1">
      <alignment horizontal="center"/>
    </xf>
    <xf numFmtId="0" fontId="93" fillId="19" borderId="0" xfId="0" applyFont="1" applyFill="1" applyAlignment="1">
      <alignment horizontal="right"/>
    </xf>
    <xf numFmtId="0" fontId="65" fillId="2" borderId="0" xfId="7" applyFont="1" applyFill="1" applyAlignment="1">
      <alignment horizontal="left" vertical="center"/>
    </xf>
  </cellXfs>
  <cellStyles count="12">
    <cellStyle name="Euro" xfId="1" xr:uid="{00000000-0005-0000-0000-000000000000}"/>
    <cellStyle name="Excel Built-in Linked Cell" xfId="2" xr:uid="{00000000-0005-0000-0000-000001000000}"/>
    <cellStyle name="Hyperlink" xfId="3" builtinId="8"/>
    <cellStyle name="Hyperlink 2" xfId="4" xr:uid="{00000000-0005-0000-0000-000003000000}"/>
    <cellStyle name="Procent" xfId="11" builtinId="5"/>
    <cellStyle name="Procent 2" xfId="5" xr:uid="{00000000-0005-0000-0000-000004000000}"/>
    <cellStyle name="Procent 2 2" xfId="6" xr:uid="{00000000-0005-0000-0000-000005000000}"/>
    <cellStyle name="Standaard" xfId="0" builtinId="0"/>
    <cellStyle name="Standaard 2" xfId="7" xr:uid="{00000000-0005-0000-0000-000007000000}"/>
    <cellStyle name="Standaard 2 2" xfId="10" xr:uid="{00000000-0005-0000-0000-000008000000}"/>
    <cellStyle name="Standaard 3" xfId="8" xr:uid="{00000000-0005-0000-0000-000009000000}"/>
    <cellStyle name="Valuta 2" xfId="9" xr:uid="{00000000-0005-0000-0000-00000A000000}"/>
  </cellStyles>
  <dxfs count="55">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theme="0"/>
      </font>
      <fill>
        <patternFill>
          <bgColor theme="0"/>
        </patternFill>
      </fill>
    </dxf>
    <dxf>
      <font>
        <color theme="0"/>
      </font>
      <fill>
        <patternFill>
          <fgColor theme="0"/>
        </patternFill>
      </fill>
      <border>
        <left/>
        <right/>
        <top/>
        <vertical/>
        <horizontal/>
      </border>
    </dxf>
    <dxf>
      <font>
        <color theme="0"/>
      </font>
      <fill>
        <patternFill>
          <f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bgColor theme="0"/>
        </patternFill>
      </fill>
      <border>
        <left/>
        <right/>
        <top/>
        <bottom/>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border>
    </dxf>
    <dxf>
      <font>
        <color theme="0"/>
      </font>
      <fill>
        <patternFill patternType="none">
          <bgColor auto="1"/>
        </patternFill>
      </fill>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ont>
        <color theme="0"/>
      </font>
      <fill>
        <patternFill patternType="solid">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border>
    </dxf>
    <dxf>
      <fill>
        <patternFill>
          <bgColor theme="0"/>
        </patternFill>
      </fill>
      <border>
        <left/>
        <right/>
        <top/>
        <bottom/>
      </border>
    </dxf>
    <dxf>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ont>
        <color theme="0"/>
      </font>
      <fill>
        <patternFill>
          <fgColor theme="0"/>
        </patternFill>
      </fill>
      <border>
        <left/>
        <right/>
        <top/>
        <bottom/>
        <vertical/>
        <horizontal/>
      </border>
    </dxf>
    <dxf>
      <font>
        <color theme="0"/>
      </font>
    </dxf>
    <dxf>
      <font>
        <color theme="0"/>
      </font>
      <fill>
        <patternFill>
          <fgColor theme="0"/>
        </patternFill>
      </fill>
      <border>
        <left/>
        <right/>
        <top/>
        <bottom/>
        <vertical/>
        <horizontal/>
      </border>
    </dxf>
    <dxf>
      <font>
        <color theme="0"/>
      </font>
      <fill>
        <patternFill>
          <fgColor theme="0"/>
          <bgColor theme="0"/>
        </patternFill>
      </fill>
      <border>
        <left/>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DEADA"/>
      <rgbColor rgb="00DCE6F2"/>
      <rgbColor rgb="00660066"/>
      <rgbColor rgb="00F79646"/>
      <rgbColor rgb="000066CC"/>
      <rgbColor rgb="00C6D9F1"/>
      <rgbColor rgb="00000080"/>
      <rgbColor rgb="00FF00FF"/>
      <rgbColor rgb="00FFFF00"/>
      <rgbColor rgb="0000FFFF"/>
      <rgbColor rgb="00800080"/>
      <rgbColor rgb="00800000"/>
      <rgbColor rgb="00008080"/>
      <rgbColor rgb="000000FF"/>
      <rgbColor rgb="0000CCFF"/>
      <rgbColor rgb="00CCFFFF"/>
      <rgbColor rgb="00D9D9D9"/>
      <rgbColor rgb="00FFFF99"/>
      <rgbColor rgb="00B9CDE5"/>
      <rgbColor rgb="00FF99CC"/>
      <rgbColor rgb="00CC99FF"/>
      <rgbColor rgb="00FFCC99"/>
      <rgbColor rgb="003366FF"/>
      <rgbColor rgb="0033CCCC"/>
      <rgbColor rgb="0099CC00"/>
      <rgbColor rgb="00FFCC00"/>
      <rgbColor rgb="00FF8001"/>
      <rgbColor rgb="00FF6600"/>
      <rgbColor rgb="00666666"/>
      <rgbColor rgb="00A6A6A6"/>
      <rgbColor rgb="00002060"/>
      <rgbColor rgb="00339966"/>
      <rgbColor rgb="00003300"/>
      <rgbColor rgb="00333300"/>
      <rgbColor rgb="00993300"/>
      <rgbColor rgb="00993366"/>
      <rgbColor rgb="00232572"/>
      <rgbColor rgb="001F497D"/>
    </indexedColors>
    <mruColors>
      <color rgb="FFFF6600"/>
      <color rgb="FF232572"/>
      <color rgb="FFC5C6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1666875</xdr:colOff>
      <xdr:row>20</xdr:row>
      <xdr:rowOff>9525</xdr:rowOff>
    </xdr:from>
    <xdr:to>
      <xdr:col>1</xdr:col>
      <xdr:colOff>6334125</xdr:colOff>
      <xdr:row>30</xdr:row>
      <xdr:rowOff>19050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7524750"/>
          <a:ext cx="4667250" cy="1914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914400</xdr:colOff>
      <xdr:row>17</xdr:row>
      <xdr:rowOff>0</xdr:rowOff>
    </xdr:from>
    <xdr:to>
      <xdr:col>1</xdr:col>
      <xdr:colOff>914400</xdr:colOff>
      <xdr:row>20</xdr:row>
      <xdr:rowOff>123825</xdr:rowOff>
    </xdr:to>
    <xdr:pic>
      <xdr:nvPicPr>
        <xdr:cNvPr id="4" name="Picture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6505575"/>
          <a:ext cx="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18</xdr:row>
      <xdr:rowOff>123825</xdr:rowOff>
    </xdr:from>
    <xdr:to>
      <xdr:col>1</xdr:col>
      <xdr:colOff>1171575</xdr:colOff>
      <xdr:row>18</xdr:row>
      <xdr:rowOff>161925</xdr:rowOff>
    </xdr:to>
    <xdr:pic>
      <xdr:nvPicPr>
        <xdr:cNvPr id="5" name="Picture 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9700" y="6962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32</xdr:row>
      <xdr:rowOff>123825</xdr:rowOff>
    </xdr:from>
    <xdr:to>
      <xdr:col>1</xdr:col>
      <xdr:colOff>1171575</xdr:colOff>
      <xdr:row>32</xdr:row>
      <xdr:rowOff>161925</xdr:rowOff>
    </xdr:to>
    <xdr:pic>
      <xdr:nvPicPr>
        <xdr:cNvPr id="6" name="Picture 8">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9700" y="9963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7458075</xdr:colOff>
      <xdr:row>0</xdr:row>
      <xdr:rowOff>76200</xdr:rowOff>
    </xdr:from>
    <xdr:to>
      <xdr:col>2</xdr:col>
      <xdr:colOff>203700</xdr:colOff>
      <xdr:row>0</xdr:row>
      <xdr:rowOff>1156200</xdr:rowOff>
    </xdr:to>
    <xdr:pic>
      <xdr:nvPicPr>
        <xdr:cNvPr id="7" name="Afbeelding 6" descr="Afbeelding met logo, cirkel, Lettertype, Elektrisch blauw&#10;&#10;Automatisch gegenereerde beschrijving">
          <a:extLst>
            <a:ext uri="{FF2B5EF4-FFF2-40B4-BE49-F238E27FC236}">
              <a16:creationId xmlns:a16="http://schemas.microsoft.com/office/drawing/2014/main" id="{558A21DF-32DE-44DE-B5A5-1D6955215B41}"/>
            </a:ext>
          </a:extLst>
        </xdr:cNvPr>
        <xdr:cNvPicPr>
          <a:picLocks/>
        </xdr:cNvPicPr>
      </xdr:nvPicPr>
      <xdr:blipFill>
        <a:blip xmlns:r="http://schemas.openxmlformats.org/officeDocument/2006/relationships" r:embed="rId4"/>
        <a:stretch>
          <a:fillRect/>
        </a:stretch>
      </xdr:blipFill>
      <xdr:spPr>
        <a:xfrm>
          <a:off x="7696200" y="76200"/>
          <a:ext cx="108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1047750</xdr:colOff>
      <xdr:row>25</xdr:row>
      <xdr:rowOff>161925</xdr:rowOff>
    </xdr:from>
    <xdr:to>
      <xdr:col>1</xdr:col>
      <xdr:colOff>5715000</xdr:colOff>
      <xdr:row>35</xdr:row>
      <xdr:rowOff>171450</xdr:rowOff>
    </xdr:to>
    <xdr:pic>
      <xdr:nvPicPr>
        <xdr:cNvPr id="1298" name="Picture 2">
          <a:extLst>
            <a:ext uri="{FF2B5EF4-FFF2-40B4-BE49-F238E27FC236}">
              <a16:creationId xmlns:a16="http://schemas.microsoft.com/office/drawing/2014/main" id="{00000000-0008-0000-01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0372725"/>
          <a:ext cx="4667250" cy="1914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4676775</xdr:colOff>
      <xdr:row>0</xdr:row>
      <xdr:rowOff>28575</xdr:rowOff>
    </xdr:from>
    <xdr:to>
      <xdr:col>2</xdr:col>
      <xdr:colOff>200025</xdr:colOff>
      <xdr:row>0</xdr:row>
      <xdr:rowOff>1114425</xdr:rowOff>
    </xdr:to>
    <xdr:pic>
      <xdr:nvPicPr>
        <xdr:cNvPr id="1299" name="Afbeelding 1">
          <a:extLst>
            <a:ext uri="{FF2B5EF4-FFF2-40B4-BE49-F238E27FC236}">
              <a16:creationId xmlns:a16="http://schemas.microsoft.com/office/drawing/2014/main" id="{00000000-0008-0000-0100-00001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28575"/>
          <a:ext cx="3857625" cy="10858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914400</xdr:colOff>
      <xdr:row>23</xdr:row>
      <xdr:rowOff>0</xdr:rowOff>
    </xdr:from>
    <xdr:to>
      <xdr:col>1</xdr:col>
      <xdr:colOff>914400</xdr:colOff>
      <xdr:row>27</xdr:row>
      <xdr:rowOff>85725</xdr:rowOff>
    </xdr:to>
    <xdr:pic>
      <xdr:nvPicPr>
        <xdr:cNvPr id="1300" name="Picture 6">
          <a:extLst>
            <a:ext uri="{FF2B5EF4-FFF2-40B4-BE49-F238E27FC236}">
              <a16:creationId xmlns:a16="http://schemas.microsoft.com/office/drawing/2014/main" id="{00000000-0008-0000-0100-000014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2525" y="9686925"/>
          <a:ext cx="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18</xdr:row>
      <xdr:rowOff>123825</xdr:rowOff>
    </xdr:from>
    <xdr:to>
      <xdr:col>1</xdr:col>
      <xdr:colOff>1171575</xdr:colOff>
      <xdr:row>18</xdr:row>
      <xdr:rowOff>161925</xdr:rowOff>
    </xdr:to>
    <xdr:pic>
      <xdr:nvPicPr>
        <xdr:cNvPr id="1301" name="Picture 8">
          <a:extLst>
            <a:ext uri="{FF2B5EF4-FFF2-40B4-BE49-F238E27FC236}">
              <a16:creationId xmlns:a16="http://schemas.microsoft.com/office/drawing/2014/main" id="{00000000-0008-0000-0100-000015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9700" y="5400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20</xdr:row>
      <xdr:rowOff>123825</xdr:rowOff>
    </xdr:from>
    <xdr:to>
      <xdr:col>1</xdr:col>
      <xdr:colOff>1171575</xdr:colOff>
      <xdr:row>20</xdr:row>
      <xdr:rowOff>161925</xdr:rowOff>
    </xdr:to>
    <xdr:pic>
      <xdr:nvPicPr>
        <xdr:cNvPr id="1302" name="Picture 8">
          <a:extLst>
            <a:ext uri="{FF2B5EF4-FFF2-40B4-BE49-F238E27FC236}">
              <a16:creationId xmlns:a16="http://schemas.microsoft.com/office/drawing/2014/main" id="{00000000-0008-0000-0100-000016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9700" y="6962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18</xdr:row>
      <xdr:rowOff>247650</xdr:rowOff>
    </xdr:from>
    <xdr:to>
      <xdr:col>2</xdr:col>
      <xdr:colOff>28575</xdr:colOff>
      <xdr:row>18</xdr:row>
      <xdr:rowOff>1323975</xdr:rowOff>
    </xdr:to>
    <xdr:pic>
      <xdr:nvPicPr>
        <xdr:cNvPr id="1303" name="Afbeelding 22">
          <a:extLst>
            <a:ext uri="{FF2B5EF4-FFF2-40B4-BE49-F238E27FC236}">
              <a16:creationId xmlns:a16="http://schemas.microsoft.com/office/drawing/2014/main" id="{00000000-0008-0000-0100-000017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9075" y="5524500"/>
          <a:ext cx="8382000" cy="1076325"/>
        </a:xfrm>
        <a:prstGeom prst="rect">
          <a:avLst/>
        </a:prstGeom>
        <a:noFill/>
        <a:ln w="9525">
          <a:solidFill>
            <a:srgbClr val="66666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304800</xdr:rowOff>
    </xdr:from>
    <xdr:to>
      <xdr:col>1</xdr:col>
      <xdr:colOff>8105775</xdr:colOff>
      <xdr:row>20</xdr:row>
      <xdr:rowOff>1800225</xdr:rowOff>
    </xdr:to>
    <xdr:pic>
      <xdr:nvPicPr>
        <xdr:cNvPr id="1304" name="Afbeelding 23">
          <a:extLst>
            <a:ext uri="{FF2B5EF4-FFF2-40B4-BE49-F238E27FC236}">
              <a16:creationId xmlns:a16="http://schemas.microsoft.com/office/drawing/2014/main" id="{00000000-0008-0000-0100-00001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5" y="7143750"/>
          <a:ext cx="8105775" cy="1495425"/>
        </a:xfrm>
        <a:prstGeom prst="rect">
          <a:avLst/>
        </a:prstGeom>
        <a:noFill/>
        <a:ln w="9525">
          <a:solidFill>
            <a:srgbClr val="66666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571500</xdr:colOff>
      <xdr:row>0</xdr:row>
      <xdr:rowOff>66675</xdr:rowOff>
    </xdr:from>
    <xdr:to>
      <xdr:col>6</xdr:col>
      <xdr:colOff>603750</xdr:colOff>
      <xdr:row>0</xdr:row>
      <xdr:rowOff>1146675</xdr:rowOff>
    </xdr:to>
    <xdr:pic>
      <xdr:nvPicPr>
        <xdr:cNvPr id="2" name="Afbeelding 1" descr="Afbeelding met logo, cirkel, Lettertype, Elektrisch blauw&#10;&#10;Automatisch gegenereerde beschrijving">
          <a:extLst>
            <a:ext uri="{FF2B5EF4-FFF2-40B4-BE49-F238E27FC236}">
              <a16:creationId xmlns:a16="http://schemas.microsoft.com/office/drawing/2014/main" id="{727BE92F-A407-4602-95CA-9B152E9D4E7B}"/>
            </a:ext>
          </a:extLst>
        </xdr:cNvPr>
        <xdr:cNvPicPr>
          <a:picLocks/>
        </xdr:cNvPicPr>
      </xdr:nvPicPr>
      <xdr:blipFill>
        <a:blip xmlns:r="http://schemas.openxmlformats.org/officeDocument/2006/relationships" r:embed="rId1"/>
        <a:stretch>
          <a:fillRect/>
        </a:stretch>
      </xdr:blipFill>
      <xdr:spPr>
        <a:xfrm>
          <a:off x="8324850" y="66675"/>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2695575</xdr:colOff>
      <xdr:row>0</xdr:row>
      <xdr:rowOff>152400</xdr:rowOff>
    </xdr:from>
    <xdr:to>
      <xdr:col>7</xdr:col>
      <xdr:colOff>994275</xdr:colOff>
      <xdr:row>1</xdr:row>
      <xdr:rowOff>51300</xdr:rowOff>
    </xdr:to>
    <xdr:pic>
      <xdr:nvPicPr>
        <xdr:cNvPr id="2" name="Afbeelding 1" descr="Afbeelding met logo, cirkel, Lettertype, Elektrisch blauw&#10;&#10;Automatisch gegenereerde beschrijving">
          <a:extLst>
            <a:ext uri="{FF2B5EF4-FFF2-40B4-BE49-F238E27FC236}">
              <a16:creationId xmlns:a16="http://schemas.microsoft.com/office/drawing/2014/main" id="{3E9E627A-067B-4402-92A9-AFA2F5A8CC55}"/>
            </a:ext>
          </a:extLst>
        </xdr:cNvPr>
        <xdr:cNvPicPr>
          <a:picLocks/>
        </xdr:cNvPicPr>
      </xdr:nvPicPr>
      <xdr:blipFill>
        <a:blip xmlns:r="http://schemas.openxmlformats.org/officeDocument/2006/relationships" r:embed="rId1"/>
        <a:stretch>
          <a:fillRect/>
        </a:stretch>
      </xdr:blipFill>
      <xdr:spPr>
        <a:xfrm>
          <a:off x="9429750" y="15240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228600</xdr:colOff>
      <xdr:row>0</xdr:row>
      <xdr:rowOff>95250</xdr:rowOff>
    </xdr:from>
    <xdr:to>
      <xdr:col>15</xdr:col>
      <xdr:colOff>594225</xdr:colOff>
      <xdr:row>0</xdr:row>
      <xdr:rowOff>1175250</xdr:rowOff>
    </xdr:to>
    <xdr:pic>
      <xdr:nvPicPr>
        <xdr:cNvPr id="2" name="Afbeelding 1" descr="Afbeelding met logo, cirkel, Lettertype, Elektrisch blauw&#10;&#10;Automatisch gegenereerde beschrijving">
          <a:extLst>
            <a:ext uri="{FF2B5EF4-FFF2-40B4-BE49-F238E27FC236}">
              <a16:creationId xmlns:a16="http://schemas.microsoft.com/office/drawing/2014/main" id="{0F300120-3E84-49CE-B052-0CA4022A9996}"/>
            </a:ext>
          </a:extLst>
        </xdr:cNvPr>
        <xdr:cNvPicPr>
          <a:picLocks/>
        </xdr:cNvPicPr>
      </xdr:nvPicPr>
      <xdr:blipFill>
        <a:blip xmlns:r="http://schemas.openxmlformats.org/officeDocument/2006/relationships" r:embed="rId1"/>
        <a:stretch>
          <a:fillRect/>
        </a:stretch>
      </xdr:blipFill>
      <xdr:spPr>
        <a:xfrm>
          <a:off x="10810875" y="95250"/>
          <a:ext cx="108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0</xdr:row>
      <xdr:rowOff>171450</xdr:rowOff>
    </xdr:from>
    <xdr:to>
      <xdr:col>7</xdr:col>
      <xdr:colOff>22725</xdr:colOff>
      <xdr:row>1</xdr:row>
      <xdr:rowOff>70350</xdr:rowOff>
    </xdr:to>
    <xdr:pic>
      <xdr:nvPicPr>
        <xdr:cNvPr id="2" name="Afbeelding 1" descr="Afbeelding met logo, cirkel, Lettertype, Elektrisch blauw&#10;&#10;Automatisch gegenereerde beschrijving">
          <a:extLst>
            <a:ext uri="{FF2B5EF4-FFF2-40B4-BE49-F238E27FC236}">
              <a16:creationId xmlns:a16="http://schemas.microsoft.com/office/drawing/2014/main" id="{C51C0E51-33D3-4CE7-BC17-F2C1179F4CE3}"/>
            </a:ext>
          </a:extLst>
        </xdr:cNvPr>
        <xdr:cNvPicPr>
          <a:picLocks/>
        </xdr:cNvPicPr>
      </xdr:nvPicPr>
      <xdr:blipFill>
        <a:blip xmlns:r="http://schemas.openxmlformats.org/officeDocument/2006/relationships" r:embed="rId1"/>
        <a:stretch>
          <a:fillRect/>
        </a:stretch>
      </xdr:blipFill>
      <xdr:spPr>
        <a:xfrm>
          <a:off x="8639175" y="171450"/>
          <a:ext cx="108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619125</xdr:colOff>
      <xdr:row>0</xdr:row>
      <xdr:rowOff>161925</xdr:rowOff>
    </xdr:from>
    <xdr:to>
      <xdr:col>10</xdr:col>
      <xdr:colOff>3675</xdr:colOff>
      <xdr:row>1</xdr:row>
      <xdr:rowOff>60825</xdr:rowOff>
    </xdr:to>
    <xdr:pic>
      <xdr:nvPicPr>
        <xdr:cNvPr id="2" name="Afbeelding 1" descr="Afbeelding met logo, cirkel, Lettertype, Elektrisch blauw&#10;&#10;Automatisch gegenereerde beschrijving">
          <a:extLst>
            <a:ext uri="{FF2B5EF4-FFF2-40B4-BE49-F238E27FC236}">
              <a16:creationId xmlns:a16="http://schemas.microsoft.com/office/drawing/2014/main" id="{328199A3-5FF2-4C28-A129-6FC935FD334F}"/>
            </a:ext>
          </a:extLst>
        </xdr:cNvPr>
        <xdr:cNvPicPr>
          <a:picLocks/>
        </xdr:cNvPicPr>
      </xdr:nvPicPr>
      <xdr:blipFill>
        <a:blip xmlns:r="http://schemas.openxmlformats.org/officeDocument/2006/relationships" r:embed="rId1"/>
        <a:stretch>
          <a:fillRect/>
        </a:stretch>
      </xdr:blipFill>
      <xdr:spPr>
        <a:xfrm>
          <a:off x="7658100" y="161925"/>
          <a:ext cx="1080000" cy="10800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qredits.nl/kredi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qredits.nl/ondernemerstools/ondernemingsplansjabloon/toelichting.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qredits.nl/ondernemerstools/ondernemingsplansjabloon/toelich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qredits.nl/ondernemerstools/ondernemingsplansjabloon/toelichting.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qredits.nl/zakelijk-krediet" TargetMode="External"/><Relationship Id="rId1" Type="http://schemas.openxmlformats.org/officeDocument/2006/relationships/hyperlink" Target="https://qredits.nl/zakelijk-kredi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AI103"/>
  <sheetViews>
    <sheetView tabSelected="1" zoomScaleNormal="100" workbookViewId="0">
      <selection activeCell="B7" sqref="B7"/>
    </sheetView>
  </sheetViews>
  <sheetFormatPr defaultColWidth="3.140625" defaultRowHeight="15" x14ac:dyDescent="0.2"/>
  <cols>
    <col min="1" max="1" width="3.5703125" style="1" customWidth="1"/>
    <col min="2" max="2" width="125" style="1" customWidth="1"/>
    <col min="3" max="3" width="3.5703125" style="1" customWidth="1"/>
    <col min="4" max="255" width="9.140625" style="1" customWidth="1"/>
    <col min="256" max="16384" width="3.140625" style="1"/>
  </cols>
  <sheetData>
    <row r="1" spans="1:35" s="3" customFormat="1" ht="93" customHeight="1" x14ac:dyDescent="0.25">
      <c r="A1" s="1"/>
      <c r="B1" s="176" t="str">
        <f>Vertaling!A4</f>
        <v>Financieel plan</v>
      </c>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x14ac:dyDescent="0.2">
      <c r="A2" s="10"/>
      <c r="B2" s="4"/>
      <c r="C2" s="10"/>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row>
    <row r="3" spans="1:35" ht="25.5" x14ac:dyDescent="0.2">
      <c r="A3" s="10"/>
      <c r="B3" s="177" t="str">
        <f>Vertaling!A5</f>
        <v>Let op! Voordat je verder gaat moet het bestand worden opgeslagen op jouw computer. Dit doe je via Bestand -&gt; Opslaan als, of met F12.</v>
      </c>
      <c r="C3" s="10"/>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1:35" x14ac:dyDescent="0.2">
      <c r="A4" s="10"/>
      <c r="B4" s="4"/>
      <c r="C4" s="10"/>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spans="1:35" ht="30" customHeight="1" x14ac:dyDescent="0.2">
      <c r="A5" s="10"/>
      <c r="B5" s="178" t="s">
        <v>0</v>
      </c>
      <c r="C5" s="41"/>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row>
    <row r="6" spans="1:35" x14ac:dyDescent="0.2">
      <c r="A6" s="10"/>
      <c r="C6" s="42"/>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row>
    <row r="7" spans="1:35" ht="18" customHeight="1" x14ac:dyDescent="0.2">
      <c r="A7" s="10"/>
      <c r="B7" s="179" t="s">
        <v>1</v>
      </c>
      <c r="C7" s="42"/>
      <c r="D7" s="46"/>
      <c r="E7" s="47"/>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row>
    <row r="8" spans="1:35" ht="30" customHeight="1" x14ac:dyDescent="0.2">
      <c r="A8" s="10"/>
      <c r="B8" s="180" t="str">
        <f>Vertaling!A6</f>
        <v>Introductie</v>
      </c>
      <c r="C8" s="41"/>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row>
    <row r="9" spans="1:35" ht="30" customHeight="1" x14ac:dyDescent="0.2">
      <c r="A9" s="10"/>
      <c r="B9" s="181" t="str">
        <f>Vertaling!A7</f>
        <v>Het maken van een financieel plan is een belangrijk onderdeel van je ondernemingsplan, zeker als je een financiering wilt aanvragen. Een compleet financieel plan bestaat  minimaal uit onderstaande begrotingen. Klik op de onderstaande begrotingen om ze te bekijken.</v>
      </c>
      <c r="C9" s="42"/>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row>
    <row r="10" spans="1:35" ht="18" customHeight="1" x14ac:dyDescent="0.2">
      <c r="A10" s="10"/>
      <c r="B10" s="182" t="str">
        <f>Vertaling!A8</f>
        <v xml:space="preserve">    Investeringsbegroting</v>
      </c>
      <c r="C10" s="42"/>
      <c r="D10" s="46"/>
      <c r="E10" s="47"/>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row>
    <row r="11" spans="1:35" ht="18" customHeight="1" x14ac:dyDescent="0.2">
      <c r="A11" s="10"/>
      <c r="B11" s="182" t="str">
        <f>Vertaling!A9</f>
        <v xml:space="preserve">    Financieringsbegroting</v>
      </c>
      <c r="C11" s="43"/>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1:35" ht="18" customHeight="1" x14ac:dyDescent="0.2">
      <c r="A12" s="10"/>
      <c r="B12" s="182" t="str">
        <f>Vertaling!A10</f>
        <v xml:space="preserve">    Exploitatiebegroting</v>
      </c>
      <c r="C12" s="42"/>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1:35" ht="18" customHeight="1" x14ac:dyDescent="0.2">
      <c r="A13" s="10"/>
      <c r="B13" s="182" t="str">
        <f>Vertaling!A11</f>
        <v xml:space="preserve">    Liquiditeitsbegroting</v>
      </c>
      <c r="C13" s="42"/>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ht="14.25" customHeight="1" x14ac:dyDescent="0.2">
      <c r="A14" s="10"/>
      <c r="B14" s="8"/>
      <c r="C14" s="42"/>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35" ht="23.25" x14ac:dyDescent="0.2">
      <c r="A15" s="61"/>
      <c r="B15" s="183" t="str">
        <f>Vertaling!A12</f>
        <v>Hoe in te vullen?</v>
      </c>
      <c r="C15" s="43"/>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row>
    <row r="16" spans="1:35" ht="127.5" x14ac:dyDescent="0.2">
      <c r="A16" s="61"/>
      <c r="B16" s="184" t="str">
        <f>Vertaling!A13</f>
        <v>Dit format helpt je met het opstellen van de begrotingen. 
Het opstellen van dit financieel plan doe je door het beantwoorden van de vragen die worden gesteld op het tabblad VRAGENLIJST. Bij de meeste vragen moet je een bedrag invullen, bij andere vragen moet je een getal of onderdeel selecteren uit een lijst. Door het beantwoorden van de vragenlijst, worden de financiële overzichten automatisch ingevuld en doorgerekend. Deze overzichten zijn te vinden op de blauwgekleurden tabbladen. Deze tabbladen zijn niet in te vullen of te wijzigen. 
Als je een wijziging wilt aanbrengen doe je dat door de lichtblauwe cellen in de vragenlijst te wijzigen! De overige cellen zijn vergrendeld met een wachtwoord. Dit wachtwoord is niet nodig voor het invullen van het plan en wordt ook niet vrijgegeven. Qredits wil namelijk niet dat het sjabloon wordt aangepast.</v>
      </c>
      <c r="C16" s="42"/>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row>
    <row r="17" spans="1:35" x14ac:dyDescent="0.2">
      <c r="A17" s="61"/>
      <c r="B17" s="62"/>
      <c r="C17" s="42"/>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row>
    <row r="18" spans="1:35" ht="23.25" x14ac:dyDescent="0.2">
      <c r="A18" s="61"/>
      <c r="B18" s="185" t="str">
        <f>Vertaling!A18</f>
        <v>Printen</v>
      </c>
      <c r="C18" s="42"/>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1:35" ht="30" customHeight="1" x14ac:dyDescent="0.2">
      <c r="A19" s="61"/>
      <c r="B19" s="186" t="str">
        <f>Vertaling!A19</f>
        <v>Je kunt het gehele financieel plan in één keer uitprinten door in het scherm 'afdrukken' het vakje 'hele werkmap' te selecteren.</v>
      </c>
      <c r="C19" s="10"/>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row>
    <row r="20" spans="1:35" x14ac:dyDescent="0.2">
      <c r="A20" s="10"/>
      <c r="B20" s="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row>
    <row r="21" spans="1:35" x14ac:dyDescent="0.2">
      <c r="A21" s="10"/>
      <c r="B21" s="10"/>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row>
    <row r="22" spans="1:35" x14ac:dyDescent="0.2">
      <c r="A22" s="10"/>
      <c r="B22" s="10"/>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row>
    <row r="23" spans="1:35" x14ac:dyDescent="0.2">
      <c r="A23" s="10"/>
      <c r="B23" s="10"/>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5" x14ac:dyDescent="0.2">
      <c r="A24" s="10"/>
      <c r="B24" s="10"/>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5" x14ac:dyDescent="0.2">
      <c r="A25" s="10"/>
      <c r="B25" s="10"/>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x14ac:dyDescent="0.2">
      <c r="A26" s="10"/>
      <c r="B26" s="10"/>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1:35" x14ac:dyDescent="0.2">
      <c r="A27" s="10"/>
      <c r="B27" s="10"/>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1:35" x14ac:dyDescent="0.2">
      <c r="A28" s="10"/>
      <c r="B28" s="10"/>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1:35" x14ac:dyDescent="0.2">
      <c r="A29" s="10"/>
      <c r="B29" s="10"/>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5" x14ac:dyDescent="0.2">
      <c r="A30" s="10"/>
      <c r="B30" s="10"/>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1:35" x14ac:dyDescent="0.2">
      <c r="A31" s="10"/>
      <c r="B31" s="10"/>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ht="23.25" x14ac:dyDescent="0.2">
      <c r="A32" s="59"/>
      <c r="B32" s="187" t="str">
        <f>Vertaling!A20</f>
        <v>Financieringsaanvraag</v>
      </c>
      <c r="C32" s="10"/>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row>
    <row r="33" spans="1:35" ht="30" customHeight="1" x14ac:dyDescent="0.2">
      <c r="A33" s="59"/>
      <c r="B33" s="186" t="str">
        <f>Vertaling!A21</f>
        <v>Als je dit plan opstelt ten behoeve van een financieringsaanvraag bij Qredits, dan kan je het financieel plan samen met je ondernemingsplan uploaden via:</v>
      </c>
      <c r="C33" s="41"/>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x14ac:dyDescent="0.2">
      <c r="A34" s="59"/>
      <c r="B34" s="10"/>
      <c r="C34" s="41"/>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ht="15.75" x14ac:dyDescent="0.2">
      <c r="A35" s="59"/>
      <c r="B35" s="188" t="str">
        <f>Vertaling!A22</f>
        <v>https://qredits.nl/zakelijk-krediet</v>
      </c>
      <c r="C35" s="42"/>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1:35" ht="21" x14ac:dyDescent="0.2">
      <c r="A36" s="61"/>
      <c r="B36" s="11"/>
      <c r="C36" s="42"/>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ht="33.75" x14ac:dyDescent="0.2">
      <c r="A37" s="61"/>
      <c r="B37" s="189" t="str">
        <f>Vertaling!A23</f>
        <v xml:space="preserve">Disclaimer: Qredits draagt er zorg voor om de inhoud van deze module regelmatig bij te werken of toevoegingen hieraan te maken. Desalniettemin is Qredits niet aansprakelijk voor onjuistheden of onvolledigheden in de aangeboden inhoud. Qredits is op geen enkele wijze aansprakelijk voor schade voortvloeiend uit het gebruik van deze module. Het is de gebruiker slechts toegestaan om de module voor eigen gebruik op te slaan, af te drukken en te kopiëren.  </v>
      </c>
      <c r="C37" s="42"/>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1:35" x14ac:dyDescent="0.2">
      <c r="A38" s="10"/>
      <c r="B38" s="12"/>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5" x14ac:dyDescent="0.2">
      <c r="A39" s="190" t="s">
        <v>1136</v>
      </c>
      <c r="B39" s="10"/>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5" x14ac:dyDescent="0.2">
      <c r="A40" s="48"/>
      <c r="B40" s="48"/>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x14ac:dyDescent="0.2">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5"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5"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x14ac:dyDescent="0.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x14ac:dyDescent="0.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1:35"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1:35"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1:35"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1:35"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1:35"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1:35"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1:35"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1:35"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1:35"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1:35"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1:35"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1:35"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1:35"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1:35"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spans="1:35"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spans="1:35"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spans="1:35"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1:35"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1:35"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1:35" x14ac:dyDescent="0.2">
      <c r="A84" s="46"/>
      <c r="B84" s="46"/>
    </row>
    <row r="85" spans="1:35" x14ac:dyDescent="0.2">
      <c r="A85" s="46"/>
      <c r="B85" s="46"/>
    </row>
    <row r="86" spans="1:35" x14ac:dyDescent="0.2">
      <c r="A86" s="46"/>
      <c r="B86" s="46"/>
    </row>
    <row r="87" spans="1:35" x14ac:dyDescent="0.2">
      <c r="A87" s="46"/>
      <c r="B87" s="46"/>
    </row>
    <row r="88" spans="1:35" x14ac:dyDescent="0.2">
      <c r="A88" s="46"/>
      <c r="B88" s="46"/>
    </row>
    <row r="89" spans="1:35" x14ac:dyDescent="0.2">
      <c r="A89" s="46"/>
      <c r="B89" s="46"/>
    </row>
    <row r="90" spans="1:35" x14ac:dyDescent="0.2">
      <c r="A90" s="46"/>
      <c r="B90" s="46"/>
    </row>
    <row r="91" spans="1:35" x14ac:dyDescent="0.2">
      <c r="A91" s="46"/>
      <c r="B91" s="46"/>
    </row>
    <row r="92" spans="1:35" x14ac:dyDescent="0.2">
      <c r="A92" s="46"/>
      <c r="B92" s="46"/>
    </row>
    <row r="93" spans="1:35" x14ac:dyDescent="0.2">
      <c r="A93" s="46"/>
      <c r="B93" s="46"/>
    </row>
    <row r="94" spans="1:35" x14ac:dyDescent="0.2">
      <c r="A94" s="46"/>
      <c r="B94" s="46"/>
    </row>
    <row r="95" spans="1:35" x14ac:dyDescent="0.2">
      <c r="A95" s="46"/>
      <c r="B95" s="46"/>
    </row>
    <row r="96" spans="1:35" x14ac:dyDescent="0.2">
      <c r="A96" s="46"/>
      <c r="B96" s="46"/>
    </row>
    <row r="97" spans="1:2" x14ac:dyDescent="0.2">
      <c r="A97" s="46"/>
      <c r="B97" s="46"/>
    </row>
    <row r="98" spans="1:2" x14ac:dyDescent="0.2">
      <c r="A98" s="46"/>
      <c r="B98" s="46"/>
    </row>
    <row r="99" spans="1:2" x14ac:dyDescent="0.2">
      <c r="A99" s="46"/>
      <c r="B99" s="46"/>
    </row>
    <row r="100" spans="1:2" x14ac:dyDescent="0.2">
      <c r="A100" s="46"/>
      <c r="B100" s="46"/>
    </row>
    <row r="101" spans="1:2" x14ac:dyDescent="0.2">
      <c r="A101" s="46"/>
      <c r="B101" s="46"/>
    </row>
    <row r="102" spans="1:2" x14ac:dyDescent="0.2">
      <c r="A102" s="46"/>
      <c r="B102" s="46"/>
    </row>
    <row r="103" spans="1:2" x14ac:dyDescent="0.2">
      <c r="A103" s="46"/>
      <c r="B103" s="46"/>
    </row>
  </sheetData>
  <sheetProtection algorithmName="SHA-512" hashValue="dNMOqo8scU+5RI/AQhdXaj9U7b1kwdTnyIRHhEFSlTZrncBAxsFcytcj6SnLyWhpHlmXkLaktk8AHvEgiLUj1A==" saltValue="LrVod+yKszvwhPodSD2Oqg==" spinCount="100000" sheet="1" objects="1" scenarios="1"/>
  <hyperlinks>
    <hyperlink ref="B10" location="'Investering &amp; Financiering'!A1" display="    Investeringsbegroting" xr:uid="{00000000-0004-0000-0000-000000000000}"/>
    <hyperlink ref="B11" location="'Investering &amp; Financiering'!A1" display="    Financieringsbegroting" xr:uid="{00000000-0004-0000-0000-000001000000}"/>
    <hyperlink ref="B12" location="Exploitatie!A1" display="    Exploitatiebegroting" xr:uid="{00000000-0004-0000-0000-000002000000}"/>
    <hyperlink ref="B13" location="Liquiditeit!A1" display="    Liquiditeitsbegroting" xr:uid="{00000000-0004-0000-0000-000003000000}"/>
  </hyperlinks>
  <pageMargins left="0.7" right="0.7" top="0.75" bottom="0.75" header="0.51180555555555551" footer="0.51180555555555551"/>
  <pageSetup paperSize="9" scale="67" firstPageNumber="0" fitToHeight="0" orientation="portrait" horizontalDpi="300" verticalDpi="300" r:id="rId1"/>
  <headerFooter alignWithMargins="0"/>
  <colBreaks count="2" manualBreakCount="2">
    <brk id="1" max="1048575" man="1"/>
    <brk id="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Vertaling!$B$1:$C$1</xm:f>
          </x14:formula1>
          <xm:sqref>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69"/>
  <sheetViews>
    <sheetView zoomScaleNormal="100" workbookViewId="0">
      <pane xSplit="8" ySplit="8" topLeftCell="I21" activePane="bottomRight" state="frozen"/>
      <selection pane="topRight" activeCell="I1" sqref="I1"/>
      <selection pane="bottomLeft" activeCell="A9" sqref="A9"/>
      <selection pane="bottomRight" activeCell="S39" sqref="S39"/>
    </sheetView>
  </sheetViews>
  <sheetFormatPr defaultColWidth="9.140625" defaultRowHeight="15" x14ac:dyDescent="0.25"/>
  <cols>
    <col min="1" max="1" width="1.7109375" style="122" customWidth="1"/>
    <col min="2" max="2" width="8" style="121" bestFit="1" customWidth="1"/>
    <col min="3" max="3" width="13.7109375" style="121" customWidth="1"/>
    <col min="4" max="4" width="1.7109375" style="122" customWidth="1"/>
    <col min="5" max="6" width="13.7109375" style="121" customWidth="1"/>
    <col min="7" max="7" width="10.7109375" style="121" bestFit="1" customWidth="1"/>
    <col min="8" max="8" width="1.7109375" style="122" customWidth="1"/>
    <col min="9" max="9" width="10.5703125" style="121" bestFit="1" customWidth="1"/>
    <col min="10" max="13" width="13.7109375" style="121" customWidth="1"/>
    <col min="14" max="14" width="1.7109375" style="122" customWidth="1"/>
    <col min="15" max="15" width="16.7109375" style="121" customWidth="1"/>
    <col min="16" max="17" width="13.7109375" style="121" customWidth="1"/>
    <col min="18" max="18" width="1.7109375" style="122" customWidth="1"/>
    <col min="19" max="19" width="10.5703125" style="121" bestFit="1" customWidth="1"/>
    <col min="20" max="22" width="13.7109375" style="121" customWidth="1"/>
    <col min="23" max="23" width="1.7109375" style="122" customWidth="1"/>
    <col min="24" max="24" width="10.5703125" style="121" bestFit="1" customWidth="1"/>
    <col min="25" max="25" width="12.5703125" style="121" bestFit="1" customWidth="1"/>
    <col min="26" max="16384" width="9.140625" style="121"/>
  </cols>
  <sheetData>
    <row r="1" spans="1:25" x14ac:dyDescent="0.25">
      <c r="A1" s="413" t="s">
        <v>875</v>
      </c>
      <c r="B1" s="413"/>
      <c r="C1" s="413"/>
      <c r="D1" s="413"/>
      <c r="E1" s="413"/>
      <c r="F1" s="413"/>
      <c r="G1" s="413"/>
      <c r="H1" s="413"/>
      <c r="I1" s="413"/>
      <c r="J1" s="413"/>
      <c r="K1" s="413"/>
      <c r="L1" s="413"/>
      <c r="M1" s="413"/>
      <c r="N1" s="413"/>
      <c r="O1" s="413"/>
      <c r="P1" s="413"/>
      <c r="Q1" s="413"/>
      <c r="R1" s="413"/>
      <c r="S1" s="413"/>
      <c r="T1" s="413"/>
      <c r="U1" s="413"/>
      <c r="V1" s="413"/>
      <c r="W1" s="413"/>
    </row>
    <row r="2" spans="1:25" x14ac:dyDescent="0.25">
      <c r="A2" s="413"/>
      <c r="B2" s="413"/>
      <c r="C2" s="413"/>
      <c r="D2" s="413"/>
      <c r="E2" s="413"/>
      <c r="F2" s="413"/>
      <c r="G2" s="413"/>
      <c r="H2" s="413"/>
      <c r="I2" s="413"/>
      <c r="J2" s="413"/>
      <c r="K2" s="413"/>
      <c r="L2" s="413"/>
      <c r="M2" s="413"/>
      <c r="N2" s="413"/>
      <c r="O2" s="413"/>
      <c r="P2" s="413"/>
      <c r="Q2" s="413"/>
      <c r="R2" s="413"/>
      <c r="S2" s="413"/>
      <c r="T2" s="413"/>
      <c r="U2" s="413"/>
      <c r="V2" s="413"/>
      <c r="W2" s="413"/>
    </row>
    <row r="3" spans="1:25" x14ac:dyDescent="0.25">
      <c r="A3" s="413" t="str">
        <f>IF('Qredits maandlasten'!$C$10=dropdowns!$A$92,"ANNUÏTAIRE","")&amp;IF('Qredits maandlasten'!$C$10=dropdowns!$A$93,"LINEAIRE","")&amp;" LEENLAAG"</f>
        <v>ANNUÏTAIRE LEENLAAG</v>
      </c>
      <c r="B3" s="413"/>
      <c r="C3" s="413"/>
      <c r="D3" s="413"/>
      <c r="E3" s="413"/>
      <c r="F3" s="413"/>
      <c r="G3" s="413"/>
      <c r="H3" s="413"/>
      <c r="I3" s="413"/>
      <c r="J3" s="413"/>
      <c r="K3" s="413"/>
      <c r="L3" s="413"/>
      <c r="M3" s="413"/>
      <c r="N3" s="413"/>
      <c r="O3" s="413"/>
      <c r="P3" s="413"/>
      <c r="Q3" s="413"/>
      <c r="R3" s="413"/>
      <c r="S3" s="413"/>
      <c r="T3" s="413"/>
      <c r="U3" s="413"/>
      <c r="V3" s="413"/>
      <c r="W3" s="413"/>
    </row>
    <row r="4" spans="1:25" x14ac:dyDescent="0.25">
      <c r="A4" s="413"/>
      <c r="B4" s="413"/>
      <c r="C4" s="413"/>
      <c r="D4" s="413"/>
      <c r="E4" s="413"/>
      <c r="F4" s="413"/>
      <c r="G4" s="413"/>
      <c r="H4" s="413"/>
      <c r="I4" s="413"/>
      <c r="J4" s="413"/>
      <c r="K4" s="413"/>
      <c r="L4" s="413"/>
      <c r="M4" s="413"/>
      <c r="N4" s="413"/>
      <c r="O4" s="413"/>
      <c r="P4" s="413"/>
      <c r="Q4" s="413"/>
      <c r="R4" s="413"/>
      <c r="S4" s="413"/>
      <c r="T4" s="413"/>
      <c r="U4" s="413"/>
      <c r="V4" s="413"/>
      <c r="W4" s="413"/>
    </row>
    <row r="5" spans="1:25" ht="7.5" customHeight="1" x14ac:dyDescent="0.25">
      <c r="B5" s="122"/>
      <c r="C5" s="122"/>
      <c r="E5" s="122"/>
      <c r="F5" s="122"/>
      <c r="G5" s="122"/>
      <c r="I5" s="122"/>
      <c r="J5" s="122"/>
      <c r="K5" s="122"/>
      <c r="L5" s="122"/>
      <c r="M5" s="122"/>
      <c r="O5" s="122"/>
      <c r="P5" s="122"/>
      <c r="Q5" s="122"/>
      <c r="S5" s="122"/>
      <c r="T5" s="122"/>
      <c r="U5" s="122"/>
      <c r="V5" s="122"/>
    </row>
    <row r="6" spans="1:25" ht="15" customHeight="1" x14ac:dyDescent="0.25">
      <c r="B6" s="414" t="s">
        <v>876</v>
      </c>
      <c r="C6" s="414"/>
      <c r="E6" s="414" t="s">
        <v>877</v>
      </c>
      <c r="F6" s="414"/>
      <c r="G6" s="414"/>
      <c r="I6" s="414" t="s">
        <v>878</v>
      </c>
      <c r="J6" s="414"/>
      <c r="K6" s="414"/>
      <c r="L6" s="414"/>
      <c r="M6" s="414"/>
      <c r="O6" s="414" t="s">
        <v>879</v>
      </c>
      <c r="P6" s="414"/>
      <c r="Q6" s="414"/>
      <c r="S6" s="414" t="s">
        <v>880</v>
      </c>
      <c r="T6" s="414"/>
      <c r="U6" s="414"/>
      <c r="V6" s="414"/>
    </row>
    <row r="7" spans="1:25" s="124" customFormat="1" ht="30" customHeight="1" x14ac:dyDescent="0.2">
      <c r="A7" s="123"/>
      <c r="B7" s="147" t="s">
        <v>881</v>
      </c>
      <c r="C7" s="147" t="s">
        <v>882</v>
      </c>
      <c r="D7" s="123"/>
      <c r="E7" s="147" t="s">
        <v>883</v>
      </c>
      <c r="F7" s="147" t="s">
        <v>884</v>
      </c>
      <c r="G7" s="147" t="s">
        <v>885</v>
      </c>
      <c r="H7" s="123"/>
      <c r="I7" s="147" t="s">
        <v>886</v>
      </c>
      <c r="J7" s="147" t="s">
        <v>878</v>
      </c>
      <c r="K7" s="147" t="s">
        <v>879</v>
      </c>
      <c r="L7" s="147" t="s">
        <v>887</v>
      </c>
      <c r="M7" s="147" t="s">
        <v>888</v>
      </c>
      <c r="N7" s="123"/>
      <c r="O7" s="147" t="s">
        <v>889</v>
      </c>
      <c r="P7" s="147" t="s">
        <v>890</v>
      </c>
      <c r="Q7" s="147" t="s">
        <v>891</v>
      </c>
      <c r="R7" s="123"/>
      <c r="S7" s="147" t="s">
        <v>886</v>
      </c>
      <c r="T7" s="147" t="s">
        <v>878</v>
      </c>
      <c r="U7" s="147" t="s">
        <v>887</v>
      </c>
      <c r="V7" s="147" t="s">
        <v>879</v>
      </c>
      <c r="W7" s="123"/>
    </row>
    <row r="8" spans="1:25" ht="7.5" customHeight="1" x14ac:dyDescent="0.25">
      <c r="B8" s="122"/>
      <c r="C8" s="122"/>
      <c r="E8" s="122"/>
      <c r="F8" s="122"/>
      <c r="G8" s="122"/>
      <c r="I8" s="122"/>
      <c r="J8" s="122"/>
      <c r="K8" s="122"/>
      <c r="L8" s="122"/>
      <c r="M8" s="122"/>
      <c r="O8" s="122"/>
      <c r="P8" s="122"/>
      <c r="Q8" s="122"/>
      <c r="S8" s="122"/>
      <c r="T8" s="122"/>
      <c r="U8" s="122"/>
      <c r="V8" s="122"/>
    </row>
    <row r="9" spans="1:25" s="134" customFormat="1" ht="15" customHeight="1" x14ac:dyDescent="0.2">
      <c r="A9" s="125"/>
      <c r="B9" s="126">
        <v>0</v>
      </c>
      <c r="C9" s="127">
        <f ca="1">EOMONTH(TODAY(),0)+1</f>
        <v>45383</v>
      </c>
      <c r="D9" s="125"/>
      <c r="E9" s="127">
        <f ca="1">C9</f>
        <v>45383</v>
      </c>
      <c r="F9" s="127">
        <f ca="1">E9</f>
        <v>45383</v>
      </c>
      <c r="G9" s="128">
        <v>0</v>
      </c>
      <c r="H9" s="129"/>
      <c r="I9" s="130">
        <f>'Qredits maandlasten'!$C$5</f>
        <v>0</v>
      </c>
      <c r="J9" s="130">
        <v>0</v>
      </c>
      <c r="K9" s="130">
        <v>0</v>
      </c>
      <c r="L9" s="130">
        <f>I9</f>
        <v>0</v>
      </c>
      <c r="M9" s="130">
        <f>L9-'Qredits maandlasten'!$C$6</f>
        <v>0</v>
      </c>
      <c r="N9" s="129"/>
      <c r="O9" s="131">
        <f>'Qredits maandlasten'!$C$8</f>
        <v>8.2916666666666677E-3</v>
      </c>
      <c r="P9" s="131">
        <f>'Qredits maandlasten'!$C$8*(POWER(1+'Qredits maandlasten'!$C$8,$B9-1+1))</f>
        <v>8.2916666666666677E-3</v>
      </c>
      <c r="Q9" s="131">
        <v>0</v>
      </c>
      <c r="R9" s="129"/>
      <c r="S9" s="130">
        <f>'Qredits maandlasten'!$C$5</f>
        <v>0</v>
      </c>
      <c r="T9" s="130">
        <f>J9/(POWER(1+'Qredits maandlasten'!$C$8,$B9-1+1))</f>
        <v>0</v>
      </c>
      <c r="U9" s="132">
        <f>T9+V9</f>
        <v>0</v>
      </c>
      <c r="V9" s="130">
        <f>K9/(POWER(1+'Qredits maandlasten'!$C$8,$B9-1+1))</f>
        <v>0</v>
      </c>
      <c r="W9" s="129"/>
      <c r="X9" s="132"/>
      <c r="Y9" s="133"/>
    </row>
    <row r="10" spans="1:25" s="134" customFormat="1" x14ac:dyDescent="0.2">
      <c r="A10" s="125"/>
      <c r="B10" s="126" t="str">
        <f>IF($B9="","",IF($B9+1&gt;'Qredits maandlasten'!$C$4,"",Schema!B9+1))</f>
        <v/>
      </c>
      <c r="C10" s="127" t="str">
        <f>IF($B9="","",IF($B9+1&gt;'Qredits maandlasten'!$C$4,"",EOMONTH(C9,0)+1))</f>
        <v/>
      </c>
      <c r="D10" s="125"/>
      <c r="E10" s="127" t="str">
        <f>IF($B9="","",IF($B9+1&gt;'Qredits maandlasten'!$C$4,"",E9))</f>
        <v/>
      </c>
      <c r="F10" s="127" t="str">
        <f>IF($B9="","",IF($B9+1&gt;'Qredits maandlasten'!$C$4,"",EOMONTH(E10,0)))</f>
        <v/>
      </c>
      <c r="G10" s="128" t="str">
        <f>IF($B9="","",IF($B9+1&gt;'Qredits maandlasten'!$C$4,"",(_xlfn.DAYS(F10,E10)+1)/DAY(F10)))</f>
        <v/>
      </c>
      <c r="H10" s="129"/>
      <c r="I10" s="130" t="str">
        <f>IF($B9="","",IF($B9+1&gt;'Qredits maandlasten'!$C$4,"",I9-J9))</f>
        <v/>
      </c>
      <c r="J10" s="130" t="str">
        <f>IF($B9="","",IF($B9+1&gt;'Qredits maandlasten'!$C$4,"",IF(B9&lt;'Qredits maandlasten'!$C$11-1,0,IF('Qredits maandlasten'!$C$10=dropdowns!$A$93,'Qredits maandlasten'!$J$3,IF('Qredits maandlasten'!$C$10=dropdowns!$A$92,IFERROR('Qredits maandlasten'!$J$3-K10,0),0)))))</f>
        <v/>
      </c>
      <c r="K10" s="130" t="str">
        <f>IF($B9="","",IF($B9+1&gt;'Qredits maandlasten'!$C$4,"",G10*I10*'Qredits maandlasten'!$C$8))</f>
        <v/>
      </c>
      <c r="L10" s="130" t="str">
        <f>IF(S10="","",-K10-J10)</f>
        <v/>
      </c>
      <c r="M10" s="130" t="str">
        <f t="shared" ref="M10:M73" si="0">IF(S10="","",-K10-J10)</f>
        <v/>
      </c>
      <c r="N10" s="129"/>
      <c r="O10" s="131" t="str">
        <f>IF($B10="","",'Qredits maandlasten'!$C$8)</f>
        <v/>
      </c>
      <c r="P10" s="131" t="str">
        <f>IF($B10="","",'Qredits maandlasten'!$C$8*(POWER(1+'Qredits maandlasten'!$C$8,$B10-1+1)))</f>
        <v/>
      </c>
      <c r="Q10" s="131" t="str">
        <f>IF($B10="","",IFERROR(J10/T10-1,0))</f>
        <v/>
      </c>
      <c r="R10" s="129"/>
      <c r="S10" s="130" t="str">
        <f t="shared" ref="S10:S73" si="1">IF(B10="","",IF(S9-T9&lt;0,"",S9-T9))</f>
        <v/>
      </c>
      <c r="T10" s="130" t="str">
        <f>IF(S10="","",J10/(POWER(1+'Qredits maandlasten'!$C$8,$B10-1+1)))</f>
        <v/>
      </c>
      <c r="U10" s="132" t="str">
        <f>IF(S10="","",T10+V10)</f>
        <v/>
      </c>
      <c r="V10" s="130" t="str">
        <f>IF($B10="","",K10/(POWER(1+'Qredits maandlasten'!$C$8,$B10-1+1)))</f>
        <v/>
      </c>
      <c r="W10" s="129"/>
      <c r="X10" s="132"/>
      <c r="Y10" s="133"/>
    </row>
    <row r="11" spans="1:25" s="134" customFormat="1" x14ac:dyDescent="0.2">
      <c r="A11" s="125"/>
      <c r="B11" s="126" t="str">
        <f>IF($B10="","",IF($B10+1&gt;'Qredits maandlasten'!$C$4,"",Schema!B10+1))</f>
        <v/>
      </c>
      <c r="C11" s="127" t="str">
        <f>IF($B10="","",IF($B10+1&gt;'Qredits maandlasten'!$C$4,"",EOMONTH(C10,0)+1))</f>
        <v/>
      </c>
      <c r="D11" s="125"/>
      <c r="E11" s="127" t="str">
        <f>IF($B10="","",IF($B10+1&gt;'Qredits maandlasten'!$C$4,"",F10+1))</f>
        <v/>
      </c>
      <c r="F11" s="127" t="str">
        <f>IF($B10="","",IF($B10+1&gt;'Qredits maandlasten'!$C$4,"",EOMONTH(E11,0)))</f>
        <v/>
      </c>
      <c r="G11" s="128" t="str">
        <f>IF($B10="","",IF($B10+1&gt;'Qredits maandlasten'!$C$4,"",(_xlfn.DAYS(F11,E11)+1)/DAY(F11)))</f>
        <v/>
      </c>
      <c r="H11" s="129"/>
      <c r="I11" s="130" t="str">
        <f>IF($B10="","",IF($B10+1&gt;'Qredits maandlasten'!$C$4,"",I10-J10))</f>
        <v/>
      </c>
      <c r="J11" s="130" t="str">
        <f>IF($B10="","",IF($B10+1&gt;'Qredits maandlasten'!$C$4,"",IF(B10&lt;'Qredits maandlasten'!$C$11-1,0,IF('Qredits maandlasten'!$C$10=dropdowns!$A$93,'Qredits maandlasten'!$J$3,IF('Qredits maandlasten'!$C$10=dropdowns!$A$92,IFERROR('Qredits maandlasten'!$J$3-K11,0),0)))))</f>
        <v/>
      </c>
      <c r="K11" s="130" t="str">
        <f>IF($B10="","",IF($B10+1&gt;'Qredits maandlasten'!$C$4,"",G11*I11*'Qredits maandlasten'!$C$8))</f>
        <v/>
      </c>
      <c r="L11" s="130" t="str">
        <f t="shared" ref="L11:L74" si="2">IF(S11="","",-K11-J11)</f>
        <v/>
      </c>
      <c r="M11" s="130" t="str">
        <f t="shared" si="0"/>
        <v/>
      </c>
      <c r="N11" s="129"/>
      <c r="O11" s="131" t="str">
        <f>IF($B11="","",'Qredits maandlasten'!$C$8)</f>
        <v/>
      </c>
      <c r="P11" s="131" t="str">
        <f>IF($B11="","",'Qredits maandlasten'!$C$8*(POWER(1+'Qredits maandlasten'!$C$8,$B11-1+1)))</f>
        <v/>
      </c>
      <c r="Q11" s="131" t="str">
        <f t="shared" ref="Q11:Q74" si="3">IF($B11="","",IFERROR(J11/T11-1,0))</f>
        <v/>
      </c>
      <c r="R11" s="129"/>
      <c r="S11" s="130" t="str">
        <f t="shared" si="1"/>
        <v/>
      </c>
      <c r="T11" s="130" t="str">
        <f>IF(S11="","",J11/(POWER(1+'Qredits maandlasten'!$C$8,$B11-1+1)))</f>
        <v/>
      </c>
      <c r="U11" s="132" t="str">
        <f t="shared" ref="U11:U74" si="4">IF(S11="","",T11+V11)</f>
        <v/>
      </c>
      <c r="V11" s="130" t="str">
        <f>IF($B11="","",K11/(POWER(1+'Qredits maandlasten'!$C$8,$B11-1+1)))</f>
        <v/>
      </c>
      <c r="W11" s="129"/>
      <c r="X11" s="132"/>
      <c r="Y11" s="133"/>
    </row>
    <row r="12" spans="1:25" s="134" customFormat="1" x14ac:dyDescent="0.2">
      <c r="A12" s="125"/>
      <c r="B12" s="126" t="str">
        <f>IF($B11="","",IF($B11+1&gt;'Qredits maandlasten'!$C$4,"",Schema!B11+1))</f>
        <v/>
      </c>
      <c r="C12" s="127" t="str">
        <f>IF($B11="","",IF($B11+1&gt;'Qredits maandlasten'!$C$4,"",EOMONTH(C11,0)+1))</f>
        <v/>
      </c>
      <c r="D12" s="125"/>
      <c r="E12" s="127" t="str">
        <f>IF($B11="","",IF($B11+1&gt;'Qredits maandlasten'!$C$4,"",F11+1))</f>
        <v/>
      </c>
      <c r="F12" s="127" t="str">
        <f>IF($B11="","",IF($B11+1&gt;'Qredits maandlasten'!$C$4,"",EOMONTH(E12,0)))</f>
        <v/>
      </c>
      <c r="G12" s="128" t="str">
        <f>IF($B11="","",IF($B11+1&gt;'Qredits maandlasten'!$C$4,"",(_xlfn.DAYS(F12,E12)+1)/DAY(F12)))</f>
        <v/>
      </c>
      <c r="H12" s="129"/>
      <c r="I12" s="130" t="str">
        <f>IF($B11="","",IF($B11+1&gt;'Qredits maandlasten'!$C$4,"",I11-J11))</f>
        <v/>
      </c>
      <c r="J12" s="130" t="str">
        <f>IF($B11="","",IF($B11+1&gt;'Qredits maandlasten'!$C$4,"",IF(B11&lt;'Qredits maandlasten'!$C$11-1,0,IF('Qredits maandlasten'!$C$10=dropdowns!$A$93,'Qredits maandlasten'!$J$3,IF('Qredits maandlasten'!$C$10=dropdowns!$A$92,IFERROR('Qredits maandlasten'!$J$3-K12,0),0)))))</f>
        <v/>
      </c>
      <c r="K12" s="130" t="str">
        <f>IF($B11="","",IF($B11+1&gt;'Qredits maandlasten'!$C$4,"",G12*I12*'Qredits maandlasten'!$C$8))</f>
        <v/>
      </c>
      <c r="L12" s="130" t="str">
        <f t="shared" si="2"/>
        <v/>
      </c>
      <c r="M12" s="130" t="str">
        <f t="shared" si="0"/>
        <v/>
      </c>
      <c r="N12" s="129"/>
      <c r="O12" s="131" t="str">
        <f>IF($B12="","",'Qredits maandlasten'!$C$8)</f>
        <v/>
      </c>
      <c r="P12" s="131" t="str">
        <f>IF($B12="","",'Qredits maandlasten'!$C$8*(POWER(1+'Qredits maandlasten'!$C$8,$B12-1+1)))</f>
        <v/>
      </c>
      <c r="Q12" s="131" t="str">
        <f t="shared" si="3"/>
        <v/>
      </c>
      <c r="R12" s="129"/>
      <c r="S12" s="130" t="str">
        <f t="shared" si="1"/>
        <v/>
      </c>
      <c r="T12" s="130" t="str">
        <f>IF(S12="","",J12/(POWER(1+'Qredits maandlasten'!$C$8,$B12-1+1)))</f>
        <v/>
      </c>
      <c r="U12" s="132" t="str">
        <f t="shared" si="4"/>
        <v/>
      </c>
      <c r="V12" s="130" t="str">
        <f>IF($B12="","",K12/(POWER(1+'Qredits maandlasten'!$C$8,$B12-1+1)))</f>
        <v/>
      </c>
      <c r="W12" s="129"/>
      <c r="X12" s="132"/>
      <c r="Y12" s="133"/>
    </row>
    <row r="13" spans="1:25" s="134" customFormat="1" x14ac:dyDescent="0.2">
      <c r="A13" s="125"/>
      <c r="B13" s="126" t="str">
        <f>IF($B12="","",IF($B12+1&gt;'Qredits maandlasten'!$C$4,"",Schema!B12+1))</f>
        <v/>
      </c>
      <c r="C13" s="127" t="str">
        <f>IF($B12="","",IF($B12+1&gt;'Qredits maandlasten'!$C$4,"",EOMONTH(C12,0)+1))</f>
        <v/>
      </c>
      <c r="D13" s="125"/>
      <c r="E13" s="127" t="str">
        <f>IF($B12="","",IF($B12+1&gt;'Qredits maandlasten'!$C$4,"",F12+1))</f>
        <v/>
      </c>
      <c r="F13" s="127" t="str">
        <f>IF($B12="","",IF($B12+1&gt;'Qredits maandlasten'!$C$4,"",EOMONTH(E13,0)))</f>
        <v/>
      </c>
      <c r="G13" s="128" t="str">
        <f>IF($B12="","",IF($B12+1&gt;'Qredits maandlasten'!$C$4,"",(_xlfn.DAYS(F13,E13)+1)/DAY(F13)))</f>
        <v/>
      </c>
      <c r="H13" s="129"/>
      <c r="I13" s="130" t="str">
        <f>IF($B12="","",IF($B12+1&gt;'Qredits maandlasten'!$C$4,"",I12-J12))</f>
        <v/>
      </c>
      <c r="J13" s="130" t="str">
        <f>IF($B12="","",IF($B12+1&gt;'Qredits maandlasten'!$C$4,"",IF(B12&lt;'Qredits maandlasten'!$C$11-1,0,IF('Qredits maandlasten'!$C$10=dropdowns!$A$93,'Qredits maandlasten'!$J$3,IF('Qredits maandlasten'!$C$10=dropdowns!$A$92,IFERROR('Qredits maandlasten'!$J$3-K13,0),0)))))</f>
        <v/>
      </c>
      <c r="K13" s="130" t="str">
        <f>IF($B12="","",IF($B12+1&gt;'Qredits maandlasten'!$C$4,"",G13*I13*'Qredits maandlasten'!$C$8))</f>
        <v/>
      </c>
      <c r="L13" s="130" t="str">
        <f>IF(S13="","",-K13-J13)</f>
        <v/>
      </c>
      <c r="M13" s="130" t="str">
        <f t="shared" si="0"/>
        <v/>
      </c>
      <c r="N13" s="129"/>
      <c r="O13" s="131" t="str">
        <f>IF($B13="","",'Qredits maandlasten'!$C$8)</f>
        <v/>
      </c>
      <c r="P13" s="131" t="str">
        <f>IF($B13="","",'Qredits maandlasten'!$C$8*(POWER(1+'Qredits maandlasten'!$C$8,$B13-1+1)))</f>
        <v/>
      </c>
      <c r="Q13" s="131" t="str">
        <f t="shared" si="3"/>
        <v/>
      </c>
      <c r="R13" s="129"/>
      <c r="S13" s="130" t="str">
        <f t="shared" si="1"/>
        <v/>
      </c>
      <c r="T13" s="130" t="str">
        <f>IF(S13="","",J13/(POWER(1+'Qredits maandlasten'!$C$8,$B13-1+1)))</f>
        <v/>
      </c>
      <c r="U13" s="132" t="str">
        <f t="shared" si="4"/>
        <v/>
      </c>
      <c r="V13" s="130" t="str">
        <f>IF($B13="","",K13/(POWER(1+'Qredits maandlasten'!$C$8,$B13-1+1)))</f>
        <v/>
      </c>
      <c r="W13" s="129"/>
      <c r="X13" s="132"/>
      <c r="Y13" s="133"/>
    </row>
    <row r="14" spans="1:25" s="134" customFormat="1" x14ac:dyDescent="0.2">
      <c r="A14" s="125"/>
      <c r="B14" s="126" t="str">
        <f>IF($B13="","",IF($B13+1&gt;'Qredits maandlasten'!$C$4,"",Schema!B13+1))</f>
        <v/>
      </c>
      <c r="C14" s="127" t="str">
        <f>IF($B13="","",IF($B13+1&gt;'Qredits maandlasten'!$C$4,"",EOMONTH(C13,0)+1))</f>
        <v/>
      </c>
      <c r="D14" s="125"/>
      <c r="E14" s="127" t="str">
        <f>IF($B13="","",IF($B13+1&gt;'Qredits maandlasten'!$C$4,"",F13+1))</f>
        <v/>
      </c>
      <c r="F14" s="127" t="str">
        <f>IF($B13="","",IF($B13+1&gt;'Qredits maandlasten'!$C$4,"",EOMONTH(E14,0)))</f>
        <v/>
      </c>
      <c r="G14" s="128" t="str">
        <f>IF($B13="","",IF($B13+1&gt;'Qredits maandlasten'!$C$4,"",(_xlfn.DAYS(F14,E14)+1)/DAY(F14)))</f>
        <v/>
      </c>
      <c r="H14" s="129"/>
      <c r="I14" s="130" t="str">
        <f>IF($B13="","",IF($B13+1&gt;'Qredits maandlasten'!$C$4,"",I13-J13))</f>
        <v/>
      </c>
      <c r="J14" s="130" t="str">
        <f>IF($B13="","",IF($B13+1&gt;'Qredits maandlasten'!$C$4,"",IF(B13&lt;'Qredits maandlasten'!$C$11-1,0,IF('Qredits maandlasten'!$C$10=dropdowns!$A$93,'Qredits maandlasten'!$J$3,IF('Qredits maandlasten'!$C$10=dropdowns!$A$92,IFERROR('Qredits maandlasten'!$J$3-K14,0),0)))))</f>
        <v/>
      </c>
      <c r="K14" s="130" t="str">
        <f>IF($B13="","",IF($B13+1&gt;'Qredits maandlasten'!$C$4,"",G14*I14*'Qredits maandlasten'!$C$8))</f>
        <v/>
      </c>
      <c r="L14" s="130" t="str">
        <f t="shared" si="2"/>
        <v/>
      </c>
      <c r="M14" s="130" t="str">
        <f t="shared" si="0"/>
        <v/>
      </c>
      <c r="N14" s="129"/>
      <c r="O14" s="131" t="str">
        <f>IF($B14="","",'Qredits maandlasten'!$C$8)</f>
        <v/>
      </c>
      <c r="P14" s="131" t="str">
        <f>IF($B14="","",'Qredits maandlasten'!$C$8*(POWER(1+'Qredits maandlasten'!$C$8,$B14-1+1)))</f>
        <v/>
      </c>
      <c r="Q14" s="131" t="str">
        <f t="shared" si="3"/>
        <v/>
      </c>
      <c r="R14" s="129"/>
      <c r="S14" s="130" t="str">
        <f t="shared" si="1"/>
        <v/>
      </c>
      <c r="T14" s="130" t="str">
        <f>IF(S14="","",J14/(POWER(1+'Qredits maandlasten'!$C$8,$B14-1+1)))</f>
        <v/>
      </c>
      <c r="U14" s="132" t="str">
        <f t="shared" si="4"/>
        <v/>
      </c>
      <c r="V14" s="130" t="str">
        <f>IF($B14="","",K14/(POWER(1+'Qredits maandlasten'!$C$8,$B14-1+1)))</f>
        <v/>
      </c>
      <c r="W14" s="129"/>
      <c r="X14" s="132"/>
      <c r="Y14" s="133"/>
    </row>
    <row r="15" spans="1:25" s="134" customFormat="1" x14ac:dyDescent="0.2">
      <c r="A15" s="125"/>
      <c r="B15" s="126" t="str">
        <f>IF($B14="","",IF($B14+1&gt;'Qredits maandlasten'!$C$4,"",Schema!B14+1))</f>
        <v/>
      </c>
      <c r="C15" s="127" t="str">
        <f>IF($B14="","",IF($B14+1&gt;'Qredits maandlasten'!$C$4,"",EOMONTH(C14,0)+1))</f>
        <v/>
      </c>
      <c r="D15" s="125"/>
      <c r="E15" s="127" t="str">
        <f>IF($B14="","",IF($B14+1&gt;'Qredits maandlasten'!$C$4,"",F14+1))</f>
        <v/>
      </c>
      <c r="F15" s="127" t="str">
        <f>IF($B14="","",IF($B14+1&gt;'Qredits maandlasten'!$C$4,"",EOMONTH(E15,0)))</f>
        <v/>
      </c>
      <c r="G15" s="128" t="str">
        <f>IF($B14="","",IF($B14+1&gt;'Qredits maandlasten'!$C$4,"",(_xlfn.DAYS(F15,E15)+1)/DAY(F15)))</f>
        <v/>
      </c>
      <c r="H15" s="129"/>
      <c r="I15" s="130" t="str">
        <f>IF($B14="","",IF($B14+1&gt;'Qredits maandlasten'!$C$4,"",I14-J14))</f>
        <v/>
      </c>
      <c r="J15" s="130" t="str">
        <f>IF($B14="","",IF($B14+1&gt;'Qredits maandlasten'!$C$4,"",IF(B14&lt;'Qredits maandlasten'!$C$11-1,0,IF('Qredits maandlasten'!$C$10=dropdowns!$A$93,'Qredits maandlasten'!$J$3,IF('Qredits maandlasten'!$C$10=dropdowns!$A$92,IFERROR('Qredits maandlasten'!$J$3-K15,0),0)))))</f>
        <v/>
      </c>
      <c r="K15" s="130" t="str">
        <f>IF($B14="","",IF($B14+1&gt;'Qredits maandlasten'!$C$4,"",G15*I15*'Qredits maandlasten'!$C$8))</f>
        <v/>
      </c>
      <c r="L15" s="130" t="str">
        <f t="shared" si="2"/>
        <v/>
      </c>
      <c r="M15" s="130" t="str">
        <f t="shared" si="0"/>
        <v/>
      </c>
      <c r="N15" s="129"/>
      <c r="O15" s="131" t="str">
        <f>IF($B15="","",'Qredits maandlasten'!$C$8)</f>
        <v/>
      </c>
      <c r="P15" s="131" t="str">
        <f>IF($B15="","",'Qredits maandlasten'!$C$8*(POWER(1+'Qredits maandlasten'!$C$8,$B15-1+1)))</f>
        <v/>
      </c>
      <c r="Q15" s="131" t="str">
        <f t="shared" si="3"/>
        <v/>
      </c>
      <c r="R15" s="129"/>
      <c r="S15" s="130" t="str">
        <f t="shared" si="1"/>
        <v/>
      </c>
      <c r="T15" s="130" t="str">
        <f>IF(S15="","",J15/(POWER(1+'Qredits maandlasten'!$C$8,$B15-1+1)))</f>
        <v/>
      </c>
      <c r="U15" s="132" t="str">
        <f t="shared" si="4"/>
        <v/>
      </c>
      <c r="V15" s="130" t="str">
        <f>IF($B15="","",K15/(POWER(1+'Qredits maandlasten'!$C$8,$B15-1+1)))</f>
        <v/>
      </c>
      <c r="W15" s="129"/>
      <c r="X15" s="132"/>
      <c r="Y15" s="133"/>
    </row>
    <row r="16" spans="1:25" s="134" customFormat="1" x14ac:dyDescent="0.2">
      <c r="A16" s="125"/>
      <c r="B16" s="126" t="str">
        <f>IF($B15="","",IF($B15+1&gt;'Qredits maandlasten'!$C$4,"",Schema!B15+1))</f>
        <v/>
      </c>
      <c r="C16" s="127" t="str">
        <f>IF($B15="","",IF($B15+1&gt;'Qredits maandlasten'!$C$4,"",EOMONTH(C15,0)+1))</f>
        <v/>
      </c>
      <c r="D16" s="125"/>
      <c r="E16" s="127" t="str">
        <f>IF($B15="","",IF($B15+1&gt;'Qredits maandlasten'!$C$4,"",F15+1))</f>
        <v/>
      </c>
      <c r="F16" s="127" t="str">
        <f>IF($B15="","",IF($B15+1&gt;'Qredits maandlasten'!$C$4,"",EOMONTH(E16,0)))</f>
        <v/>
      </c>
      <c r="G16" s="128" t="str">
        <f>IF($B15="","",IF($B15+1&gt;'Qredits maandlasten'!$C$4,"",(_xlfn.DAYS(F16,E16)+1)/DAY(F16)))</f>
        <v/>
      </c>
      <c r="H16" s="129"/>
      <c r="I16" s="130" t="str">
        <f>IF($B15="","",IF($B15+1&gt;'Qredits maandlasten'!$C$4,"",I15-J15))</f>
        <v/>
      </c>
      <c r="J16" s="130" t="str">
        <f>IF($B15="","",IF($B15+1&gt;'Qredits maandlasten'!$C$4,"",IF(B15&lt;'Qredits maandlasten'!$C$11-1,0,IF('Qredits maandlasten'!$C$10=dropdowns!$A$93,'Qredits maandlasten'!$J$3,IF('Qredits maandlasten'!$C$10=dropdowns!$A$92,IFERROR('Qredits maandlasten'!$J$3-K16,0),0)))))</f>
        <v/>
      </c>
      <c r="K16" s="130" t="str">
        <f>IF($B15="","",IF($B15+1&gt;'Qredits maandlasten'!$C$4,"",G16*I16*'Qredits maandlasten'!$C$8))</f>
        <v/>
      </c>
      <c r="L16" s="130" t="str">
        <f t="shared" si="2"/>
        <v/>
      </c>
      <c r="M16" s="130" t="str">
        <f t="shared" si="0"/>
        <v/>
      </c>
      <c r="N16" s="129"/>
      <c r="O16" s="131" t="str">
        <f>IF($B16="","",'Qredits maandlasten'!$C$8)</f>
        <v/>
      </c>
      <c r="P16" s="131" t="str">
        <f>IF($B16="","",'Qredits maandlasten'!$C$8*(POWER(1+'Qredits maandlasten'!$C$8,$B16-1+1)))</f>
        <v/>
      </c>
      <c r="Q16" s="131" t="str">
        <f t="shared" si="3"/>
        <v/>
      </c>
      <c r="R16" s="129"/>
      <c r="S16" s="130" t="str">
        <f t="shared" si="1"/>
        <v/>
      </c>
      <c r="T16" s="130" t="str">
        <f>IF(S16="","",J16/(POWER(1+'Qredits maandlasten'!$C$8,$B16-1+1)))</f>
        <v/>
      </c>
      <c r="U16" s="132" t="str">
        <f t="shared" si="4"/>
        <v/>
      </c>
      <c r="V16" s="130" t="str">
        <f>IF($B16="","",K16/(POWER(1+'Qredits maandlasten'!$C$8,$B16-1+1)))</f>
        <v/>
      </c>
      <c r="W16" s="129"/>
      <c r="X16" s="132"/>
      <c r="Y16" s="133"/>
    </row>
    <row r="17" spans="1:28" s="134" customFormat="1" x14ac:dyDescent="0.2">
      <c r="A17" s="125"/>
      <c r="B17" s="126" t="str">
        <f>IF($B16="","",IF($B16+1&gt;'Qredits maandlasten'!$C$4,"",Schema!B16+1))</f>
        <v/>
      </c>
      <c r="C17" s="127" t="str">
        <f>IF($B16="","",IF($B16+1&gt;'Qredits maandlasten'!$C$4,"",EOMONTH(C16,0)+1))</f>
        <v/>
      </c>
      <c r="D17" s="125"/>
      <c r="E17" s="127" t="str">
        <f>IF($B16="","",IF($B16+1&gt;'Qredits maandlasten'!$C$4,"",F16+1))</f>
        <v/>
      </c>
      <c r="F17" s="127" t="str">
        <f>IF($B16="","",IF($B16+1&gt;'Qredits maandlasten'!$C$4,"",EOMONTH(E17,0)))</f>
        <v/>
      </c>
      <c r="G17" s="128" t="str">
        <f>IF($B16="","",IF($B16+1&gt;'Qredits maandlasten'!$C$4,"",(_xlfn.DAYS(F17,E17)+1)/DAY(F17)))</f>
        <v/>
      </c>
      <c r="H17" s="129"/>
      <c r="I17" s="130" t="str">
        <f>IF($B16="","",IF($B16+1&gt;'Qredits maandlasten'!$C$4,"",I16-J16))</f>
        <v/>
      </c>
      <c r="J17" s="130" t="str">
        <f>IF($B16="","",IF($B16+1&gt;'Qredits maandlasten'!$C$4,"",IF(B16&lt;'Qredits maandlasten'!$C$11-1,0,IF('Qredits maandlasten'!$C$10=dropdowns!$A$93,'Qredits maandlasten'!$J$3,IF('Qredits maandlasten'!$C$10=dropdowns!$A$92,IFERROR('Qredits maandlasten'!$J$3-K17,0),0)))))</f>
        <v/>
      </c>
      <c r="K17" s="130" t="str">
        <f>IF($B16="","",IF($B16+1&gt;'Qredits maandlasten'!$C$4,"",G17*I17*'Qredits maandlasten'!$C$8))</f>
        <v/>
      </c>
      <c r="L17" s="130" t="str">
        <f t="shared" si="2"/>
        <v/>
      </c>
      <c r="M17" s="130" t="str">
        <f t="shared" si="0"/>
        <v/>
      </c>
      <c r="N17" s="129"/>
      <c r="O17" s="131" t="str">
        <f>IF($B17="","",'Qredits maandlasten'!$C$8)</f>
        <v/>
      </c>
      <c r="P17" s="131" t="str">
        <f>IF($B17="","",'Qredits maandlasten'!$C$8*(POWER(1+'Qredits maandlasten'!$C$8,$B17-1+1)))</f>
        <v/>
      </c>
      <c r="Q17" s="131" t="str">
        <f t="shared" si="3"/>
        <v/>
      </c>
      <c r="R17" s="129"/>
      <c r="S17" s="130" t="str">
        <f t="shared" si="1"/>
        <v/>
      </c>
      <c r="T17" s="130" t="str">
        <f>IF(S17="","",J17/(POWER(1+'Qredits maandlasten'!$C$8,$B17-1+1)))</f>
        <v/>
      </c>
      <c r="U17" s="132" t="str">
        <f t="shared" si="4"/>
        <v/>
      </c>
      <c r="V17" s="130" t="str">
        <f>IF($B17="","",K17/(POWER(1+'Qredits maandlasten'!$C$8,$B17-1+1)))</f>
        <v/>
      </c>
      <c r="W17" s="129"/>
      <c r="X17" s="132"/>
      <c r="Y17" s="133"/>
    </row>
    <row r="18" spans="1:28" s="134" customFormat="1" x14ac:dyDescent="0.2">
      <c r="A18" s="125"/>
      <c r="B18" s="126" t="str">
        <f>IF($B17="","",IF($B17+1&gt;'Qredits maandlasten'!$C$4,"",Schema!B17+1))</f>
        <v/>
      </c>
      <c r="C18" s="127" t="str">
        <f>IF($B17="","",IF($B17+1&gt;'Qredits maandlasten'!$C$4,"",EOMONTH(C17,0)+1))</f>
        <v/>
      </c>
      <c r="D18" s="125"/>
      <c r="E18" s="127" t="str">
        <f>IF($B17="","",IF($B17+1&gt;'Qredits maandlasten'!$C$4,"",F17+1))</f>
        <v/>
      </c>
      <c r="F18" s="127" t="str">
        <f>IF($B17="","",IF($B17+1&gt;'Qredits maandlasten'!$C$4,"",EOMONTH(E18,0)))</f>
        <v/>
      </c>
      <c r="G18" s="128" t="str">
        <f>IF($B17="","",IF($B17+1&gt;'Qredits maandlasten'!$C$4,"",(_xlfn.DAYS(F18,E18)+1)/DAY(F18)))</f>
        <v/>
      </c>
      <c r="H18" s="129"/>
      <c r="I18" s="130" t="str">
        <f>IF($B17="","",IF($B17+1&gt;'Qredits maandlasten'!$C$4,"",I17-J17))</f>
        <v/>
      </c>
      <c r="J18" s="130" t="str">
        <f>IF($B17="","",IF($B17+1&gt;'Qredits maandlasten'!$C$4,"",IF(B17&lt;'Qredits maandlasten'!$C$11-1,0,IF('Qredits maandlasten'!$C$10=dropdowns!$A$93,'Qredits maandlasten'!$J$3,IF('Qredits maandlasten'!$C$10=dropdowns!$A$92,IFERROR('Qredits maandlasten'!$J$3-K18,0),0)))))</f>
        <v/>
      </c>
      <c r="K18" s="130" t="str">
        <f>IF($B17="","",IF($B17+1&gt;'Qredits maandlasten'!$C$4,"",G18*I18*'Qredits maandlasten'!$C$8))</f>
        <v/>
      </c>
      <c r="L18" s="130" t="str">
        <f t="shared" si="2"/>
        <v/>
      </c>
      <c r="M18" s="130" t="str">
        <f t="shared" si="0"/>
        <v/>
      </c>
      <c r="N18" s="129"/>
      <c r="O18" s="131" t="str">
        <f>IF($B18="","",'Qredits maandlasten'!$C$8)</f>
        <v/>
      </c>
      <c r="P18" s="131" t="str">
        <f>IF($B18="","",'Qredits maandlasten'!$C$8*(POWER(1+'Qredits maandlasten'!$C$8,$B18-1+1)))</f>
        <v/>
      </c>
      <c r="Q18" s="131" t="str">
        <f t="shared" si="3"/>
        <v/>
      </c>
      <c r="R18" s="129"/>
      <c r="S18" s="130" t="str">
        <f t="shared" si="1"/>
        <v/>
      </c>
      <c r="T18" s="130" t="str">
        <f>IF(S18="","",J18/(POWER(1+'Qredits maandlasten'!$C$8,$B18-1+1)))</f>
        <v/>
      </c>
      <c r="U18" s="132" t="str">
        <f t="shared" si="4"/>
        <v/>
      </c>
      <c r="V18" s="130" t="str">
        <f>IF($B18="","",K18/(POWER(1+'Qredits maandlasten'!$C$8,$B18-1+1)))</f>
        <v/>
      </c>
      <c r="W18" s="129"/>
      <c r="X18" s="132"/>
      <c r="Y18" s="133"/>
    </row>
    <row r="19" spans="1:28" s="134" customFormat="1" x14ac:dyDescent="0.2">
      <c r="A19" s="125"/>
      <c r="B19" s="126" t="str">
        <f>IF($B18="","",IF($B18+1&gt;'Qredits maandlasten'!$C$4,"",Schema!B18+1))</f>
        <v/>
      </c>
      <c r="C19" s="127" t="str">
        <f>IF($B18="","",IF($B18+1&gt;'Qredits maandlasten'!$C$4,"",EOMONTH(C18,0)+1))</f>
        <v/>
      </c>
      <c r="D19" s="125"/>
      <c r="E19" s="127" t="str">
        <f>IF($B18="","",IF($B18+1&gt;'Qredits maandlasten'!$C$4,"",F18+1))</f>
        <v/>
      </c>
      <c r="F19" s="127" t="str">
        <f>IF($B18="","",IF($B18+1&gt;'Qredits maandlasten'!$C$4,"",EOMONTH(E19,0)))</f>
        <v/>
      </c>
      <c r="G19" s="128" t="str">
        <f>IF($B18="","",IF($B18+1&gt;'Qredits maandlasten'!$C$4,"",(_xlfn.DAYS(F19,E19)+1)/DAY(F19)))</f>
        <v/>
      </c>
      <c r="H19" s="129"/>
      <c r="I19" s="130" t="str">
        <f>IF($B18="","",IF($B18+1&gt;'Qredits maandlasten'!$C$4,"",I18-J18))</f>
        <v/>
      </c>
      <c r="J19" s="130" t="str">
        <f>IF($B18="","",IF($B18+1&gt;'Qredits maandlasten'!$C$4,"",IF(B18&lt;'Qredits maandlasten'!$C$11-1,0,IF('Qredits maandlasten'!$C$10=dropdowns!$A$93,'Qredits maandlasten'!$J$3,IF('Qredits maandlasten'!$C$10=dropdowns!$A$92,IFERROR('Qredits maandlasten'!$J$3-K19,0),0)))))</f>
        <v/>
      </c>
      <c r="K19" s="130" t="str">
        <f>IF($B18="","",IF($B18+1&gt;'Qredits maandlasten'!$C$4,"",G19*I19*'Qredits maandlasten'!$C$8))</f>
        <v/>
      </c>
      <c r="L19" s="130" t="str">
        <f t="shared" si="2"/>
        <v/>
      </c>
      <c r="M19" s="130" t="str">
        <f t="shared" si="0"/>
        <v/>
      </c>
      <c r="N19" s="129"/>
      <c r="O19" s="131" t="str">
        <f>IF($B19="","",'Qredits maandlasten'!$C$8)</f>
        <v/>
      </c>
      <c r="P19" s="131" t="str">
        <f>IF($B19="","",'Qredits maandlasten'!$C$8*(POWER(1+'Qredits maandlasten'!$C$8,$B19-1+1)))</f>
        <v/>
      </c>
      <c r="Q19" s="131" t="str">
        <f t="shared" si="3"/>
        <v/>
      </c>
      <c r="R19" s="129"/>
      <c r="S19" s="130" t="str">
        <f t="shared" si="1"/>
        <v/>
      </c>
      <c r="T19" s="130" t="str">
        <f>IF(S19="","",J19/(POWER(1+'Qredits maandlasten'!$C$8,$B19-1+1)))</f>
        <v/>
      </c>
      <c r="U19" s="132" t="str">
        <f t="shared" si="4"/>
        <v/>
      </c>
      <c r="V19" s="130" t="str">
        <f>IF($B19="","",K19/(POWER(1+'Qredits maandlasten'!$C$8,$B19-1+1)))</f>
        <v/>
      </c>
      <c r="W19" s="129"/>
      <c r="X19" s="132"/>
      <c r="Y19" s="133"/>
    </row>
    <row r="20" spans="1:28" s="134" customFormat="1" x14ac:dyDescent="0.2">
      <c r="A20" s="125"/>
      <c r="B20" s="126" t="str">
        <f>IF($B19="","",IF($B19+1&gt;'Qredits maandlasten'!$C$4,"",Schema!B19+1))</f>
        <v/>
      </c>
      <c r="C20" s="127" t="str">
        <f>IF($B19="","",IF($B19+1&gt;'Qredits maandlasten'!$C$4,"",EOMONTH(C19,0)+1))</f>
        <v/>
      </c>
      <c r="D20" s="125"/>
      <c r="E20" s="127" t="str">
        <f>IF($B19="","",IF($B19+1&gt;'Qredits maandlasten'!$C$4,"",F19+1))</f>
        <v/>
      </c>
      <c r="F20" s="127" t="str">
        <f>IF($B19="","",IF($B19+1&gt;'Qredits maandlasten'!$C$4,"",EOMONTH(E20,0)))</f>
        <v/>
      </c>
      <c r="G20" s="128" t="str">
        <f>IF($B19="","",IF($B19+1&gt;'Qredits maandlasten'!$C$4,"",(_xlfn.DAYS(F20,E20)+1)/DAY(F20)))</f>
        <v/>
      </c>
      <c r="H20" s="129"/>
      <c r="I20" s="130" t="str">
        <f>IF($B19="","",IF($B19+1&gt;'Qredits maandlasten'!$C$4,"",I19-J19))</f>
        <v/>
      </c>
      <c r="J20" s="130" t="str">
        <f>IF($B19="","",IF($B19+1&gt;'Qredits maandlasten'!$C$4,"",IF(B19&lt;'Qredits maandlasten'!$C$11-1,0,IF('Qredits maandlasten'!$C$10=dropdowns!$A$93,'Qredits maandlasten'!$J$3,IF('Qredits maandlasten'!$C$10=dropdowns!$A$92,IFERROR('Qredits maandlasten'!$J$3-K20,0),0)))))</f>
        <v/>
      </c>
      <c r="K20" s="130" t="str">
        <f>IF($B19="","",IF($B19+1&gt;'Qredits maandlasten'!$C$4,"",G20*I20*'Qredits maandlasten'!$C$8))</f>
        <v/>
      </c>
      <c r="L20" s="130" t="str">
        <f t="shared" si="2"/>
        <v/>
      </c>
      <c r="M20" s="130" t="str">
        <f t="shared" si="0"/>
        <v/>
      </c>
      <c r="N20" s="129"/>
      <c r="O20" s="131" t="str">
        <f>IF($B20="","",'Qredits maandlasten'!$C$8)</f>
        <v/>
      </c>
      <c r="P20" s="131" t="str">
        <f>IF($B20="","",'Qredits maandlasten'!$C$8*(POWER(1+'Qredits maandlasten'!$C$8,$B20-1+1)))</f>
        <v/>
      </c>
      <c r="Q20" s="131" t="str">
        <f t="shared" si="3"/>
        <v/>
      </c>
      <c r="R20" s="129"/>
      <c r="S20" s="130" t="str">
        <f t="shared" si="1"/>
        <v/>
      </c>
      <c r="T20" s="130" t="str">
        <f>IF(S20="","",J20/(POWER(1+'Qredits maandlasten'!$C$8,$B20-1+1)))</f>
        <v/>
      </c>
      <c r="U20" s="132" t="str">
        <f t="shared" si="4"/>
        <v/>
      </c>
      <c r="V20" s="130" t="str">
        <f>IF($B20="","",K20/(POWER(1+'Qredits maandlasten'!$C$8,$B20-1+1)))</f>
        <v/>
      </c>
      <c r="W20" s="129"/>
      <c r="X20" s="132"/>
      <c r="Y20" s="133"/>
    </row>
    <row r="21" spans="1:28" s="134" customFormat="1" x14ac:dyDescent="0.2">
      <c r="A21" s="125"/>
      <c r="B21" s="126" t="str">
        <f>IF($B20="","",IF($B20+1&gt;'Qredits maandlasten'!$C$4,"",Schema!B20+1))</f>
        <v/>
      </c>
      <c r="C21" s="127" t="str">
        <f>IF($B20="","",IF($B20+1&gt;'Qredits maandlasten'!$C$4,"",EOMONTH(C20,0)+1))</f>
        <v/>
      </c>
      <c r="D21" s="125"/>
      <c r="E21" s="127" t="str">
        <f>IF($B20="","",IF($B20+1&gt;'Qredits maandlasten'!$C$4,"",F20+1))</f>
        <v/>
      </c>
      <c r="F21" s="127" t="str">
        <f>IF($B20="","",IF($B20+1&gt;'Qredits maandlasten'!$C$4,"",EOMONTH(E21,0)))</f>
        <v/>
      </c>
      <c r="G21" s="128" t="str">
        <f>IF($B20="","",IF($B20+1&gt;'Qredits maandlasten'!$C$4,"",(_xlfn.DAYS(F21,E21)+1)/DAY(F21)))</f>
        <v/>
      </c>
      <c r="H21" s="129"/>
      <c r="I21" s="130" t="str">
        <f>IF($B20="","",IF($B20+1&gt;'Qredits maandlasten'!$C$4,"",I20-J20))</f>
        <v/>
      </c>
      <c r="J21" s="130" t="str">
        <f>IF($B20="","",IF($B20+1&gt;'Qredits maandlasten'!$C$4,"",IF(B20&lt;'Qredits maandlasten'!$C$11-1,0,IF('Qredits maandlasten'!$C$10=dropdowns!$A$93,'Qredits maandlasten'!$J$3,IF('Qredits maandlasten'!$C$10=dropdowns!$A$92,IFERROR('Qredits maandlasten'!$J$3-K21,0),0)))))</f>
        <v/>
      </c>
      <c r="K21" s="130" t="str">
        <f>IF($B20="","",IF($B20+1&gt;'Qredits maandlasten'!$C$4,"",G21*I21*'Qredits maandlasten'!$C$8))</f>
        <v/>
      </c>
      <c r="L21" s="130" t="str">
        <f t="shared" si="2"/>
        <v/>
      </c>
      <c r="M21" s="130" t="str">
        <f t="shared" si="0"/>
        <v/>
      </c>
      <c r="N21" s="129"/>
      <c r="O21" s="131" t="str">
        <f>IF($B21="","",'Qredits maandlasten'!$C$8)</f>
        <v/>
      </c>
      <c r="P21" s="131" t="str">
        <f>IF($B21="","",'Qredits maandlasten'!$C$8*(POWER(1+'Qredits maandlasten'!$C$8,$B21-1+1)))</f>
        <v/>
      </c>
      <c r="Q21" s="131" t="str">
        <f t="shared" si="3"/>
        <v/>
      </c>
      <c r="R21" s="129"/>
      <c r="S21" s="130" t="str">
        <f t="shared" si="1"/>
        <v/>
      </c>
      <c r="T21" s="130" t="str">
        <f>IF(S21="","",J21/(POWER(1+'Qredits maandlasten'!$C$8,$B21-1+1)))</f>
        <v/>
      </c>
      <c r="U21" s="132" t="str">
        <f t="shared" si="4"/>
        <v/>
      </c>
      <c r="V21" s="130" t="str">
        <f>IF($B21="","",K21/(POWER(1+'Qredits maandlasten'!$C$8,$B21-1+1)))</f>
        <v/>
      </c>
      <c r="W21" s="129"/>
      <c r="X21" s="132"/>
      <c r="Y21" s="133"/>
    </row>
    <row r="22" spans="1:28" s="134" customFormat="1" x14ac:dyDescent="0.2">
      <c r="A22" s="125"/>
      <c r="B22" s="126" t="str">
        <f>IF($B21="","",IF($B21+1&gt;'Qredits maandlasten'!$C$4,"",Schema!B21+1))</f>
        <v/>
      </c>
      <c r="C22" s="127" t="str">
        <f>IF($B21="","",IF($B21+1&gt;'Qredits maandlasten'!$C$4,"",EOMONTH(C21,0)+1))</f>
        <v/>
      </c>
      <c r="D22" s="125"/>
      <c r="E22" s="127" t="str">
        <f>IF($B21="","",IF($B21+1&gt;'Qredits maandlasten'!$C$4,"",F21+1))</f>
        <v/>
      </c>
      <c r="F22" s="127" t="str">
        <f>IF($B21="","",IF($B21+1&gt;'Qredits maandlasten'!$C$4,"",EOMONTH(E22,0)))</f>
        <v/>
      </c>
      <c r="G22" s="128" t="str">
        <f>IF($B21="","",IF($B21+1&gt;'Qredits maandlasten'!$C$4,"",(_xlfn.DAYS(F22,E22)+1)/DAY(F22)))</f>
        <v/>
      </c>
      <c r="H22" s="129"/>
      <c r="I22" s="130" t="str">
        <f>IF($B21="","",IF($B21+1&gt;'Qredits maandlasten'!$C$4,"",I21-J21))</f>
        <v/>
      </c>
      <c r="J22" s="130" t="str">
        <f>IF($B21="","",IF($B21+1&gt;'Qredits maandlasten'!$C$4,"",IF(B21&lt;'Qredits maandlasten'!$C$11-1,0,IF('Qredits maandlasten'!$C$10=dropdowns!$A$93,'Qredits maandlasten'!$J$3,IF('Qredits maandlasten'!$C$10=dropdowns!$A$92,IFERROR('Qredits maandlasten'!$J$3-K22,0),0)))))</f>
        <v/>
      </c>
      <c r="K22" s="130" t="str">
        <f>IF($B21="","",IF($B21+1&gt;'Qredits maandlasten'!$C$4,"",G22*I22*'Qredits maandlasten'!$C$8))</f>
        <v/>
      </c>
      <c r="L22" s="130" t="str">
        <f t="shared" si="2"/>
        <v/>
      </c>
      <c r="M22" s="130" t="str">
        <f t="shared" si="0"/>
        <v/>
      </c>
      <c r="N22" s="129"/>
      <c r="O22" s="131" t="str">
        <f>IF($B22="","",'Qredits maandlasten'!$C$8)</f>
        <v/>
      </c>
      <c r="P22" s="131" t="str">
        <f>IF($B22="","",'Qredits maandlasten'!$C$8*(POWER(1+'Qredits maandlasten'!$C$8,$B22-1+1)))</f>
        <v/>
      </c>
      <c r="Q22" s="131" t="str">
        <f t="shared" si="3"/>
        <v/>
      </c>
      <c r="R22" s="129"/>
      <c r="S22" s="130" t="str">
        <f t="shared" si="1"/>
        <v/>
      </c>
      <c r="T22" s="130" t="str">
        <f>IF(S22="","",J22/(POWER(1+'Qredits maandlasten'!$C$8,$B22-1+1)))</f>
        <v/>
      </c>
      <c r="U22" s="132" t="str">
        <f t="shared" si="4"/>
        <v/>
      </c>
      <c r="V22" s="130" t="str">
        <f>IF($B22="","",K22/(POWER(1+'Qredits maandlasten'!$C$8,$B22-1+1)))</f>
        <v/>
      </c>
      <c r="W22" s="129"/>
      <c r="X22" s="132"/>
      <c r="Y22" s="135"/>
    </row>
    <row r="23" spans="1:28" s="134" customFormat="1" x14ac:dyDescent="0.2">
      <c r="A23" s="125"/>
      <c r="B23" s="126" t="str">
        <f>IF($B22="","",IF($B22+1&gt;'Qredits maandlasten'!$C$4,"",Schema!B22+1))</f>
        <v/>
      </c>
      <c r="C23" s="127" t="str">
        <f>IF($B22="","",IF($B22+1&gt;'Qredits maandlasten'!$C$4,"",EOMONTH(C22,0)+1))</f>
        <v/>
      </c>
      <c r="D23" s="125"/>
      <c r="E23" s="127" t="str">
        <f>IF($B22="","",IF($B22+1&gt;'Qredits maandlasten'!$C$4,"",F22+1))</f>
        <v/>
      </c>
      <c r="F23" s="127" t="str">
        <f>IF($B22="","",IF($B22+1&gt;'Qredits maandlasten'!$C$4,"",EOMONTH(E23,0)))</f>
        <v/>
      </c>
      <c r="G23" s="128" t="str">
        <f>IF($B22="","",IF($B22+1&gt;'Qredits maandlasten'!$C$4,"",(_xlfn.DAYS(F23,E23)+1)/DAY(F23)))</f>
        <v/>
      </c>
      <c r="H23" s="129"/>
      <c r="I23" s="130" t="str">
        <f>IF($B22="","",IF($B22+1&gt;'Qredits maandlasten'!$C$4,"",I22-J22))</f>
        <v/>
      </c>
      <c r="J23" s="130" t="str">
        <f>IF($B22="","",IF($B22+1&gt;'Qredits maandlasten'!$C$4,"",IF(B22&lt;'Qredits maandlasten'!$C$11-1,0,IF('Qredits maandlasten'!$C$10=dropdowns!$A$93,'Qredits maandlasten'!$J$3,IF('Qredits maandlasten'!$C$10=dropdowns!$A$92,IFERROR('Qredits maandlasten'!$J$3-K23,0),0)))))</f>
        <v/>
      </c>
      <c r="K23" s="130" t="str">
        <f>IF($B22="","",IF($B22+1&gt;'Qredits maandlasten'!$C$4,"",G23*I23*'Qredits maandlasten'!$C$8))</f>
        <v/>
      </c>
      <c r="L23" s="130" t="str">
        <f t="shared" si="2"/>
        <v/>
      </c>
      <c r="M23" s="130" t="str">
        <f t="shared" si="0"/>
        <v/>
      </c>
      <c r="N23" s="129"/>
      <c r="O23" s="131" t="str">
        <f>IF($B23="","",'Qredits maandlasten'!$C$8)</f>
        <v/>
      </c>
      <c r="P23" s="131" t="str">
        <f>IF($B23="","",'Qredits maandlasten'!$C$8*(POWER(1+'Qredits maandlasten'!$C$8,$B23-1+1)))</f>
        <v/>
      </c>
      <c r="Q23" s="131" t="str">
        <f t="shared" si="3"/>
        <v/>
      </c>
      <c r="R23" s="129"/>
      <c r="S23" s="130" t="str">
        <f t="shared" si="1"/>
        <v/>
      </c>
      <c r="T23" s="130" t="str">
        <f>IF(S23="","",J23/(POWER(1+'Qredits maandlasten'!$C$8,$B23-1+1)))</f>
        <v/>
      </c>
      <c r="U23" s="132" t="str">
        <f t="shared" si="4"/>
        <v/>
      </c>
      <c r="V23" s="130" t="str">
        <f>IF($B23="","",K23/(POWER(1+'Qredits maandlasten'!$C$8,$B23-1+1)))</f>
        <v/>
      </c>
      <c r="W23" s="129"/>
      <c r="X23" s="132"/>
      <c r="Y23" s="133"/>
    </row>
    <row r="24" spans="1:28" s="134" customFormat="1" x14ac:dyDescent="0.2">
      <c r="A24" s="125"/>
      <c r="B24" s="126" t="str">
        <f>IF($B23="","",IF($B23+1&gt;'Qredits maandlasten'!$C$4,"",Schema!B23+1))</f>
        <v/>
      </c>
      <c r="C24" s="127" t="str">
        <f>IF($B23="","",IF($B23+1&gt;'Qredits maandlasten'!$C$4,"",EOMONTH(C23,0)+1))</f>
        <v/>
      </c>
      <c r="D24" s="125"/>
      <c r="E24" s="127" t="str">
        <f>IF($B23="","",IF($B23+1&gt;'Qredits maandlasten'!$C$4,"",F23+1))</f>
        <v/>
      </c>
      <c r="F24" s="127" t="str">
        <f>IF($B23="","",IF($B23+1&gt;'Qredits maandlasten'!$C$4,"",EOMONTH(E24,0)))</f>
        <v/>
      </c>
      <c r="G24" s="128" t="str">
        <f>IF($B23="","",IF($B23+1&gt;'Qredits maandlasten'!$C$4,"",(_xlfn.DAYS(F24,E24)+1)/DAY(F24)))</f>
        <v/>
      </c>
      <c r="H24" s="129"/>
      <c r="I24" s="130" t="str">
        <f>IF($B23="","",IF($B23+1&gt;'Qredits maandlasten'!$C$4,"",I23-J23))</f>
        <v/>
      </c>
      <c r="J24" s="130" t="str">
        <f>IF($B23="","",IF($B23+1&gt;'Qredits maandlasten'!$C$4,"",IF(B23&lt;'Qredits maandlasten'!$C$11-1,0,IF('Qredits maandlasten'!$C$10=dropdowns!$A$93,'Qredits maandlasten'!$J$3,IF('Qredits maandlasten'!$C$10=dropdowns!$A$92,IFERROR('Qredits maandlasten'!$J$3-K24,0),0)))))</f>
        <v/>
      </c>
      <c r="K24" s="130" t="str">
        <f>IF($B23="","",IF($B23+1&gt;'Qredits maandlasten'!$C$4,"",G24*I24*'Qredits maandlasten'!$C$8))</f>
        <v/>
      </c>
      <c r="L24" s="130" t="str">
        <f t="shared" si="2"/>
        <v/>
      </c>
      <c r="M24" s="130" t="str">
        <f t="shared" si="0"/>
        <v/>
      </c>
      <c r="N24" s="129"/>
      <c r="O24" s="131" t="str">
        <f>IF($B24="","",'Qredits maandlasten'!$C$8)</f>
        <v/>
      </c>
      <c r="P24" s="131" t="str">
        <f>IF($B24="","",'Qredits maandlasten'!$C$8*(POWER(1+'Qredits maandlasten'!$C$8,$B24-1+1)))</f>
        <v/>
      </c>
      <c r="Q24" s="131" t="str">
        <f t="shared" si="3"/>
        <v/>
      </c>
      <c r="R24" s="129"/>
      <c r="S24" s="130" t="str">
        <f t="shared" si="1"/>
        <v/>
      </c>
      <c r="T24" s="130" t="str">
        <f>IF(S24="","",J24/(POWER(1+'Qredits maandlasten'!$C$8,$B24-1+1)))</f>
        <v/>
      </c>
      <c r="U24" s="132" t="str">
        <f t="shared" si="4"/>
        <v/>
      </c>
      <c r="V24" s="130" t="str">
        <f>IF($B24="","",K24/(POWER(1+'Qredits maandlasten'!$C$8,$B24-1+1)))</f>
        <v/>
      </c>
      <c r="W24" s="129"/>
      <c r="X24" s="132"/>
      <c r="Y24" s="135"/>
    </row>
    <row r="25" spans="1:28" s="134" customFormat="1" x14ac:dyDescent="0.2">
      <c r="A25" s="125"/>
      <c r="B25" s="126" t="str">
        <f>IF($B24="","",IF($B24+1&gt;'Qredits maandlasten'!$C$4,"",Schema!B24+1))</f>
        <v/>
      </c>
      <c r="C25" s="127" t="str">
        <f>IF($B24="","",IF($B24+1&gt;'Qredits maandlasten'!$C$4,"",EOMONTH(C24,0)+1))</f>
        <v/>
      </c>
      <c r="D25" s="125"/>
      <c r="E25" s="127" t="str">
        <f>IF($B24="","",IF($B24+1&gt;'Qredits maandlasten'!$C$4,"",F24+1))</f>
        <v/>
      </c>
      <c r="F25" s="127" t="str">
        <f>IF($B24="","",IF($B24+1&gt;'Qredits maandlasten'!$C$4,"",EOMONTH(E25,0)))</f>
        <v/>
      </c>
      <c r="G25" s="128" t="str">
        <f>IF($B24="","",IF($B24+1&gt;'Qredits maandlasten'!$C$4,"",(_xlfn.DAYS(F25,E25)+1)/DAY(F25)))</f>
        <v/>
      </c>
      <c r="H25" s="129"/>
      <c r="I25" s="130" t="str">
        <f>IF($B24="","",IF($B24+1&gt;'Qredits maandlasten'!$C$4,"",I24-J24))</f>
        <v/>
      </c>
      <c r="J25" s="130" t="str">
        <f>IF($B24="","",IF($B24+1&gt;'Qredits maandlasten'!$C$4,"",IF(B24&lt;'Qredits maandlasten'!$C$11-1,0,IF('Qredits maandlasten'!$C$10=dropdowns!$A$93,'Qredits maandlasten'!$J$3,IF('Qredits maandlasten'!$C$10=dropdowns!$A$92,IFERROR('Qredits maandlasten'!$J$3-K25,0),0)))))</f>
        <v/>
      </c>
      <c r="K25" s="130" t="str">
        <f>IF($B24="","",IF($B24+1&gt;'Qredits maandlasten'!$C$4,"",G25*I25*'Qredits maandlasten'!$C$8))</f>
        <v/>
      </c>
      <c r="L25" s="130" t="str">
        <f t="shared" si="2"/>
        <v/>
      </c>
      <c r="M25" s="130" t="str">
        <f t="shared" si="0"/>
        <v/>
      </c>
      <c r="N25" s="129"/>
      <c r="O25" s="131" t="str">
        <f>IF($B25="","",'Qredits maandlasten'!$C$8)</f>
        <v/>
      </c>
      <c r="P25" s="131" t="str">
        <f>IF($B25="","",'Qredits maandlasten'!$C$8*(POWER(1+'Qredits maandlasten'!$C$8,$B25-1+1)))</f>
        <v/>
      </c>
      <c r="Q25" s="131" t="str">
        <f t="shared" si="3"/>
        <v/>
      </c>
      <c r="R25" s="129"/>
      <c r="S25" s="130" t="str">
        <f t="shared" si="1"/>
        <v/>
      </c>
      <c r="T25" s="130" t="str">
        <f>IF(S25="","",J25/(POWER(1+'Qredits maandlasten'!$C$8,$B25-1+1)))</f>
        <v/>
      </c>
      <c r="U25" s="132" t="str">
        <f t="shared" si="4"/>
        <v/>
      </c>
      <c r="V25" s="130" t="str">
        <f>IF($B25="","",K25/(POWER(1+'Qredits maandlasten'!$C$8,$B25-1+1)))</f>
        <v/>
      </c>
      <c r="W25" s="129"/>
      <c r="X25" s="132"/>
      <c r="Y25" s="133"/>
    </row>
    <row r="26" spans="1:28" s="134" customFormat="1" x14ac:dyDescent="0.2">
      <c r="A26" s="125"/>
      <c r="B26" s="126" t="str">
        <f>IF($B25="","",IF($B25+1&gt;'Qredits maandlasten'!$C$4,"",Schema!B25+1))</f>
        <v/>
      </c>
      <c r="C26" s="127" t="str">
        <f>IF($B25="","",IF($B25+1&gt;'Qredits maandlasten'!$C$4,"",EOMONTH(C25,0)+1))</f>
        <v/>
      </c>
      <c r="D26" s="125"/>
      <c r="E26" s="127" t="str">
        <f>IF($B25="","",IF($B25+1&gt;'Qredits maandlasten'!$C$4,"",F25+1))</f>
        <v/>
      </c>
      <c r="F26" s="127" t="str">
        <f>IF($B25="","",IF($B25+1&gt;'Qredits maandlasten'!$C$4,"",EOMONTH(E26,0)))</f>
        <v/>
      </c>
      <c r="G26" s="128" t="str">
        <f>IF($B25="","",IF($B25+1&gt;'Qredits maandlasten'!$C$4,"",(_xlfn.DAYS(F26,E26)+1)/DAY(F26)))</f>
        <v/>
      </c>
      <c r="H26" s="129"/>
      <c r="I26" s="130" t="str">
        <f>IF($B25="","",IF($B25+1&gt;'Qredits maandlasten'!$C$4,"",I25-J25))</f>
        <v/>
      </c>
      <c r="J26" s="130" t="str">
        <f>IF($B25="","",IF($B25+1&gt;'Qredits maandlasten'!$C$4,"",IF(B25&lt;'Qredits maandlasten'!$C$11-1,0,IF('Qredits maandlasten'!$C$10=dropdowns!$A$93,'Qredits maandlasten'!$J$3,IF('Qredits maandlasten'!$C$10=dropdowns!$A$92,IFERROR('Qredits maandlasten'!$J$3-K26,0),0)))))</f>
        <v/>
      </c>
      <c r="K26" s="130" t="str">
        <f>IF($B25="","",IF($B25+1&gt;'Qredits maandlasten'!$C$4,"",G26*I26*'Qredits maandlasten'!$C$8))</f>
        <v/>
      </c>
      <c r="L26" s="130" t="str">
        <f t="shared" si="2"/>
        <v/>
      </c>
      <c r="M26" s="130" t="str">
        <f t="shared" si="0"/>
        <v/>
      </c>
      <c r="N26" s="129"/>
      <c r="O26" s="131" t="str">
        <f>IF($B26="","",'Qredits maandlasten'!$C$8)</f>
        <v/>
      </c>
      <c r="P26" s="131" t="str">
        <f>IF($B26="","",'Qredits maandlasten'!$C$8*(POWER(1+'Qredits maandlasten'!$C$8,$B26-1+1)))</f>
        <v/>
      </c>
      <c r="Q26" s="131" t="str">
        <f t="shared" si="3"/>
        <v/>
      </c>
      <c r="R26" s="129"/>
      <c r="S26" s="130" t="str">
        <f t="shared" si="1"/>
        <v/>
      </c>
      <c r="T26" s="130" t="str">
        <f>IF(S26="","",J26/(POWER(1+'Qredits maandlasten'!$C$8,$B26-1+1)))</f>
        <v/>
      </c>
      <c r="U26" s="132" t="str">
        <f t="shared" si="4"/>
        <v/>
      </c>
      <c r="V26" s="130" t="str">
        <f>IF($B26="","",K26/(POWER(1+'Qredits maandlasten'!$C$8,$B26-1+1)))</f>
        <v/>
      </c>
      <c r="W26" s="129"/>
      <c r="X26" s="132"/>
      <c r="Y26" s="133"/>
    </row>
    <row r="27" spans="1:28" s="134" customFormat="1" x14ac:dyDescent="0.2">
      <c r="A27" s="125"/>
      <c r="B27" s="126" t="str">
        <f>IF($B26="","",IF($B26+1&gt;'Qredits maandlasten'!$C$4,"",Schema!B26+1))</f>
        <v/>
      </c>
      <c r="C27" s="127" t="str">
        <f>IF($B26="","",IF($B26+1&gt;'Qredits maandlasten'!$C$4,"",EOMONTH(C26,0)+1))</f>
        <v/>
      </c>
      <c r="D27" s="125"/>
      <c r="E27" s="127" t="str">
        <f>IF($B26="","",IF($B26+1&gt;'Qredits maandlasten'!$C$4,"",F26+1))</f>
        <v/>
      </c>
      <c r="F27" s="127" t="str">
        <f>IF($B26="","",IF($B26+1&gt;'Qredits maandlasten'!$C$4,"",EOMONTH(E27,0)))</f>
        <v/>
      </c>
      <c r="G27" s="128" t="str">
        <f>IF($B26="","",IF($B26+1&gt;'Qredits maandlasten'!$C$4,"",(_xlfn.DAYS(F27,E27)+1)/DAY(F27)))</f>
        <v/>
      </c>
      <c r="H27" s="129"/>
      <c r="I27" s="130" t="str">
        <f>IF($B26="","",IF($B26+1&gt;'Qredits maandlasten'!$C$4,"",I26-J26))</f>
        <v/>
      </c>
      <c r="J27" s="130" t="str">
        <f>IF($B26="","",IF($B26+1&gt;'Qredits maandlasten'!$C$4,"",IF(B26&lt;'Qredits maandlasten'!$C$11-1,0,IF('Qredits maandlasten'!$C$10=dropdowns!$A$93,'Qredits maandlasten'!$J$3,IF('Qredits maandlasten'!$C$10=dropdowns!$A$92,IFERROR('Qredits maandlasten'!$J$3-K27,0),0)))))</f>
        <v/>
      </c>
      <c r="K27" s="130" t="str">
        <f>IF($B26="","",IF($B26+1&gt;'Qredits maandlasten'!$C$4,"",G27*I27*'Qredits maandlasten'!$C$8))</f>
        <v/>
      </c>
      <c r="L27" s="130" t="str">
        <f t="shared" si="2"/>
        <v/>
      </c>
      <c r="M27" s="130" t="str">
        <f t="shared" si="0"/>
        <v/>
      </c>
      <c r="N27" s="129"/>
      <c r="O27" s="131" t="str">
        <f>IF($B27="","",'Qredits maandlasten'!$C$8)</f>
        <v/>
      </c>
      <c r="P27" s="131" t="str">
        <f>IF($B27="","",'Qredits maandlasten'!$C$8*(POWER(1+'Qredits maandlasten'!$C$8,$B27-1+1)))</f>
        <v/>
      </c>
      <c r="Q27" s="131" t="str">
        <f t="shared" si="3"/>
        <v/>
      </c>
      <c r="R27" s="129"/>
      <c r="S27" s="130" t="str">
        <f t="shared" si="1"/>
        <v/>
      </c>
      <c r="T27" s="130" t="str">
        <f>IF(S27="","",J27/(POWER(1+'Qredits maandlasten'!$C$8,$B27-1+1)))</f>
        <v/>
      </c>
      <c r="U27" s="132" t="str">
        <f t="shared" si="4"/>
        <v/>
      </c>
      <c r="V27" s="130" t="str">
        <f>IF($B27="","",K27/(POWER(1+'Qredits maandlasten'!$C$8,$B27-1+1)))</f>
        <v/>
      </c>
      <c r="W27" s="129"/>
      <c r="X27" s="132"/>
      <c r="Y27" s="136"/>
      <c r="Z27" s="136"/>
      <c r="AA27" s="136"/>
      <c r="AB27" s="136"/>
    </row>
    <row r="28" spans="1:28" s="134" customFormat="1" x14ac:dyDescent="0.2">
      <c r="A28" s="125"/>
      <c r="B28" s="126" t="str">
        <f>IF($B27="","",IF($B27+1&gt;'Qredits maandlasten'!$C$4,"",Schema!B27+1))</f>
        <v/>
      </c>
      <c r="C28" s="127" t="str">
        <f>IF($B27="","",IF($B27+1&gt;'Qredits maandlasten'!$C$4,"",EOMONTH(C27,0)+1))</f>
        <v/>
      </c>
      <c r="D28" s="125"/>
      <c r="E28" s="127" t="str">
        <f>IF($B27="","",IF($B27+1&gt;'Qredits maandlasten'!$C$4,"",F27+1))</f>
        <v/>
      </c>
      <c r="F28" s="127" t="str">
        <f>IF($B27="","",IF($B27+1&gt;'Qredits maandlasten'!$C$4,"",EOMONTH(E28,0)))</f>
        <v/>
      </c>
      <c r="G28" s="128" t="str">
        <f>IF($B27="","",IF($B27+1&gt;'Qredits maandlasten'!$C$4,"",(_xlfn.DAYS(F28,E28)+1)/DAY(F28)))</f>
        <v/>
      </c>
      <c r="H28" s="129"/>
      <c r="I28" s="130" t="str">
        <f>IF($B27="","",IF($B27+1&gt;'Qredits maandlasten'!$C$4,"",I27-J27))</f>
        <v/>
      </c>
      <c r="J28" s="130" t="str">
        <f>IF($B27="","",IF($B27+1&gt;'Qredits maandlasten'!$C$4,"",IF(B27&lt;'Qredits maandlasten'!$C$11-1,0,IF('Qredits maandlasten'!$C$10=dropdowns!$A$93,'Qredits maandlasten'!$J$3,IF('Qredits maandlasten'!$C$10=dropdowns!$A$92,IFERROR('Qredits maandlasten'!$J$3-K28,0),0)))))</f>
        <v/>
      </c>
      <c r="K28" s="130" t="str">
        <f>IF($B27="","",IF($B27+1&gt;'Qredits maandlasten'!$C$4,"",G28*I28*'Qredits maandlasten'!$C$8))</f>
        <v/>
      </c>
      <c r="L28" s="130" t="str">
        <f t="shared" si="2"/>
        <v/>
      </c>
      <c r="M28" s="130" t="str">
        <f t="shared" si="0"/>
        <v/>
      </c>
      <c r="N28" s="129"/>
      <c r="O28" s="131" t="str">
        <f>IF($B28="","",'Qredits maandlasten'!$C$8)</f>
        <v/>
      </c>
      <c r="P28" s="131" t="str">
        <f>IF($B28="","",'Qredits maandlasten'!$C$8*(POWER(1+'Qredits maandlasten'!$C$8,$B28-1+1)))</f>
        <v/>
      </c>
      <c r="Q28" s="131" t="str">
        <f t="shared" si="3"/>
        <v/>
      </c>
      <c r="R28" s="129"/>
      <c r="S28" s="130" t="str">
        <f t="shared" si="1"/>
        <v/>
      </c>
      <c r="T28" s="130" t="str">
        <f>IF(S28="","",J28/(POWER(1+'Qredits maandlasten'!$C$8,$B28-1+1)))</f>
        <v/>
      </c>
      <c r="U28" s="132" t="str">
        <f t="shared" si="4"/>
        <v/>
      </c>
      <c r="V28" s="130" t="str">
        <f>IF($B28="","",K28/(POWER(1+'Qredits maandlasten'!$C$8,$B28-1+1)))</f>
        <v/>
      </c>
      <c r="W28" s="129"/>
      <c r="X28" s="132"/>
      <c r="Y28" s="136"/>
      <c r="Z28" s="136"/>
      <c r="AA28" s="136"/>
      <c r="AB28" s="136"/>
    </row>
    <row r="29" spans="1:28" s="134" customFormat="1" x14ac:dyDescent="0.2">
      <c r="A29" s="125"/>
      <c r="B29" s="126" t="str">
        <f>IF($B28="","",IF($B28+1&gt;'Qredits maandlasten'!$C$4,"",Schema!B28+1))</f>
        <v/>
      </c>
      <c r="C29" s="127" t="str">
        <f>IF($B28="","",IF($B28+1&gt;'Qredits maandlasten'!$C$4,"",EOMONTH(C28,0)+1))</f>
        <v/>
      </c>
      <c r="D29" s="125"/>
      <c r="E29" s="127" t="str">
        <f>IF($B28="","",IF($B28+1&gt;'Qredits maandlasten'!$C$4,"",F28+1))</f>
        <v/>
      </c>
      <c r="F29" s="127" t="str">
        <f>IF($B28="","",IF($B28+1&gt;'Qredits maandlasten'!$C$4,"",EOMONTH(E29,0)))</f>
        <v/>
      </c>
      <c r="G29" s="128" t="str">
        <f>IF($B28="","",IF($B28+1&gt;'Qredits maandlasten'!$C$4,"",(_xlfn.DAYS(F29,E29)+1)/DAY(F29)))</f>
        <v/>
      </c>
      <c r="H29" s="129"/>
      <c r="I29" s="130" t="str">
        <f>IF($B28="","",IF($B28+1&gt;'Qredits maandlasten'!$C$4,"",I28-J28))</f>
        <v/>
      </c>
      <c r="J29" s="130" t="str">
        <f>IF($B28="","",IF($B28+1&gt;'Qredits maandlasten'!$C$4,"",IF(B28&lt;'Qredits maandlasten'!$C$11-1,0,IF('Qredits maandlasten'!$C$10=dropdowns!$A$93,'Qredits maandlasten'!$J$3,IF('Qredits maandlasten'!$C$10=dropdowns!$A$92,IFERROR('Qredits maandlasten'!$J$3-K29,0),0)))))</f>
        <v/>
      </c>
      <c r="K29" s="130" t="str">
        <f>IF($B28="","",IF($B28+1&gt;'Qredits maandlasten'!$C$4,"",G29*I29*'Qredits maandlasten'!$C$8))</f>
        <v/>
      </c>
      <c r="L29" s="130" t="str">
        <f t="shared" si="2"/>
        <v/>
      </c>
      <c r="M29" s="130" t="str">
        <f t="shared" si="0"/>
        <v/>
      </c>
      <c r="N29" s="129"/>
      <c r="O29" s="131" t="str">
        <f>IF($B29="","",'Qredits maandlasten'!$C$8)</f>
        <v/>
      </c>
      <c r="P29" s="131" t="str">
        <f>IF($B29="","",'Qredits maandlasten'!$C$8*(POWER(1+'Qredits maandlasten'!$C$8,$B29-1+1)))</f>
        <v/>
      </c>
      <c r="Q29" s="131" t="str">
        <f t="shared" si="3"/>
        <v/>
      </c>
      <c r="R29" s="129"/>
      <c r="S29" s="130" t="str">
        <f t="shared" si="1"/>
        <v/>
      </c>
      <c r="T29" s="130" t="str">
        <f>IF(S29="","",J29/(POWER(1+'Qredits maandlasten'!$C$8,$B29-1+1)))</f>
        <v/>
      </c>
      <c r="U29" s="132" t="str">
        <f t="shared" si="4"/>
        <v/>
      </c>
      <c r="V29" s="130" t="str">
        <f>IF($B29="","",K29/(POWER(1+'Qredits maandlasten'!$C$8,$B29-1+1)))</f>
        <v/>
      </c>
      <c r="W29" s="129"/>
      <c r="X29" s="132"/>
      <c r="Y29" s="136"/>
      <c r="Z29" s="136"/>
      <c r="AA29" s="136"/>
      <c r="AB29" s="136">
        <v>9.2244933777033133E-3</v>
      </c>
    </row>
    <row r="30" spans="1:28" s="134" customFormat="1" x14ac:dyDescent="0.2">
      <c r="A30" s="125"/>
      <c r="B30" s="126" t="str">
        <f>IF($B29="","",IF($B29+1&gt;'Qredits maandlasten'!$C$4,"",Schema!B29+1))</f>
        <v/>
      </c>
      <c r="C30" s="127" t="str">
        <f>IF($B29="","",IF($B29+1&gt;'Qredits maandlasten'!$C$4,"",EOMONTH(C29,0)+1))</f>
        <v/>
      </c>
      <c r="D30" s="125"/>
      <c r="E30" s="127" t="str">
        <f>IF($B29="","",IF($B29+1&gt;'Qredits maandlasten'!$C$4,"",F29+1))</f>
        <v/>
      </c>
      <c r="F30" s="127" t="str">
        <f>IF($B29="","",IF($B29+1&gt;'Qredits maandlasten'!$C$4,"",EOMONTH(E30,0)))</f>
        <v/>
      </c>
      <c r="G30" s="128" t="str">
        <f>IF($B29="","",IF($B29+1&gt;'Qredits maandlasten'!$C$4,"",(_xlfn.DAYS(F30,E30)+1)/DAY(F30)))</f>
        <v/>
      </c>
      <c r="H30" s="129"/>
      <c r="I30" s="130" t="str">
        <f>IF($B29="","",IF($B29+1&gt;'Qredits maandlasten'!$C$4,"",I29-J29))</f>
        <v/>
      </c>
      <c r="J30" s="130" t="str">
        <f>IF($B29="","",IF($B29+1&gt;'Qredits maandlasten'!$C$4,"",IF(B29&lt;'Qredits maandlasten'!$C$11-1,0,IF('Qredits maandlasten'!$C$10=dropdowns!$A$93,'Qredits maandlasten'!$J$3,IF('Qredits maandlasten'!$C$10=dropdowns!$A$92,IFERROR('Qredits maandlasten'!$J$3-K30,0),0)))))</f>
        <v/>
      </c>
      <c r="K30" s="130" t="str">
        <f>IF($B29="","",IF($B29+1&gt;'Qredits maandlasten'!$C$4,"",G30*I30*'Qredits maandlasten'!$C$8))</f>
        <v/>
      </c>
      <c r="L30" s="130" t="str">
        <f t="shared" si="2"/>
        <v/>
      </c>
      <c r="M30" s="130" t="str">
        <f t="shared" si="0"/>
        <v/>
      </c>
      <c r="N30" s="129"/>
      <c r="O30" s="131" t="str">
        <f>IF($B30="","",'Qredits maandlasten'!$C$8)</f>
        <v/>
      </c>
      <c r="P30" s="131" t="str">
        <f>IF($B30="","",'Qredits maandlasten'!$C$8*(POWER(1+'Qredits maandlasten'!$C$8,$B30-1+1)))</f>
        <v/>
      </c>
      <c r="Q30" s="131" t="str">
        <f t="shared" si="3"/>
        <v/>
      </c>
      <c r="R30" s="129"/>
      <c r="S30" s="130" t="str">
        <f t="shared" si="1"/>
        <v/>
      </c>
      <c r="T30" s="130" t="str">
        <f>IF(S30="","",J30/(POWER(1+'Qredits maandlasten'!$C$8,$B30-1+1)))</f>
        <v/>
      </c>
      <c r="U30" s="132" t="str">
        <f t="shared" si="4"/>
        <v/>
      </c>
      <c r="V30" s="130" t="str">
        <f>IF($B30="","",K30/(POWER(1+'Qredits maandlasten'!$C$8,$B30-1+1)))</f>
        <v/>
      </c>
      <c r="W30" s="129"/>
      <c r="X30" s="132"/>
      <c r="Y30" s="133"/>
    </row>
    <row r="31" spans="1:28" s="134" customFormat="1" x14ac:dyDescent="0.2">
      <c r="A31" s="125"/>
      <c r="B31" s="126" t="str">
        <f>IF($B30="","",IF($B30+1&gt;'Qredits maandlasten'!$C$4,"",Schema!B30+1))</f>
        <v/>
      </c>
      <c r="C31" s="127" t="str">
        <f>IF($B30="","",IF($B30+1&gt;'Qredits maandlasten'!$C$4,"",EOMONTH(C30,0)+1))</f>
        <v/>
      </c>
      <c r="D31" s="125"/>
      <c r="E31" s="127" t="str">
        <f>IF($B30="","",IF($B30+1&gt;'Qredits maandlasten'!$C$4,"",F30+1))</f>
        <v/>
      </c>
      <c r="F31" s="127" t="str">
        <f>IF($B30="","",IF($B30+1&gt;'Qredits maandlasten'!$C$4,"",EOMONTH(E31,0)))</f>
        <v/>
      </c>
      <c r="G31" s="128" t="str">
        <f>IF($B30="","",IF($B30+1&gt;'Qredits maandlasten'!$C$4,"",(_xlfn.DAYS(F31,E31)+1)/DAY(F31)))</f>
        <v/>
      </c>
      <c r="H31" s="129"/>
      <c r="I31" s="130" t="str">
        <f>IF($B30="","",IF($B30+1&gt;'Qredits maandlasten'!$C$4,"",I30-J30))</f>
        <v/>
      </c>
      <c r="J31" s="130" t="str">
        <f>IF($B30="","",IF($B30+1&gt;'Qredits maandlasten'!$C$4,"",IF(B30&lt;'Qredits maandlasten'!$C$11-1,0,IF('Qredits maandlasten'!$C$10=dropdowns!$A$93,'Qredits maandlasten'!$J$3,IF('Qredits maandlasten'!$C$10=dropdowns!$A$92,IFERROR('Qredits maandlasten'!$J$3-K31,0),0)))))</f>
        <v/>
      </c>
      <c r="K31" s="130" t="str">
        <f>IF($B30="","",IF($B30+1&gt;'Qredits maandlasten'!$C$4,"",G31*I31*'Qredits maandlasten'!$C$8))</f>
        <v/>
      </c>
      <c r="L31" s="130" t="str">
        <f t="shared" si="2"/>
        <v/>
      </c>
      <c r="M31" s="130" t="str">
        <f t="shared" si="0"/>
        <v/>
      </c>
      <c r="N31" s="129"/>
      <c r="O31" s="131" t="str">
        <f>IF($B31="","",'Qredits maandlasten'!$C$8)</f>
        <v/>
      </c>
      <c r="P31" s="131" t="str">
        <f>IF($B31="","",'Qredits maandlasten'!$C$8*(POWER(1+'Qredits maandlasten'!$C$8,$B31-1+1)))</f>
        <v/>
      </c>
      <c r="Q31" s="131" t="str">
        <f t="shared" si="3"/>
        <v/>
      </c>
      <c r="R31" s="129"/>
      <c r="S31" s="130" t="str">
        <f t="shared" si="1"/>
        <v/>
      </c>
      <c r="T31" s="130" t="str">
        <f>IF(S31="","",J31/(POWER(1+'Qredits maandlasten'!$C$8,$B31-1+1)))</f>
        <v/>
      </c>
      <c r="U31" s="132" t="str">
        <f t="shared" si="4"/>
        <v/>
      </c>
      <c r="V31" s="130" t="str">
        <f>IF($B31="","",K31/(POWER(1+'Qredits maandlasten'!$C$8,$B31-1+1)))</f>
        <v/>
      </c>
      <c r="W31" s="129"/>
      <c r="X31" s="132"/>
      <c r="Y31" s="135"/>
    </row>
    <row r="32" spans="1:28" s="134" customFormat="1" x14ac:dyDescent="0.2">
      <c r="A32" s="125"/>
      <c r="B32" s="126" t="str">
        <f>IF($B31="","",IF($B31+1&gt;'Qredits maandlasten'!$C$4,"",Schema!B31+1))</f>
        <v/>
      </c>
      <c r="C32" s="127" t="str">
        <f>IF($B31="","",IF($B31+1&gt;'Qredits maandlasten'!$C$4,"",EOMONTH(C31,0)+1))</f>
        <v/>
      </c>
      <c r="D32" s="125"/>
      <c r="E32" s="127" t="str">
        <f>IF($B31="","",IF($B31+1&gt;'Qredits maandlasten'!$C$4,"",F31+1))</f>
        <v/>
      </c>
      <c r="F32" s="127" t="str">
        <f>IF($B31="","",IF($B31+1&gt;'Qredits maandlasten'!$C$4,"",EOMONTH(E32,0)))</f>
        <v/>
      </c>
      <c r="G32" s="128" t="str">
        <f>IF($B31="","",IF($B31+1&gt;'Qredits maandlasten'!$C$4,"",(_xlfn.DAYS(F32,E32)+1)/DAY(F32)))</f>
        <v/>
      </c>
      <c r="H32" s="129"/>
      <c r="I32" s="130" t="str">
        <f>IF($B31="","",IF($B31+1&gt;'Qredits maandlasten'!$C$4,"",I31-J31))</f>
        <v/>
      </c>
      <c r="J32" s="130" t="str">
        <f>IF($B31="","",IF($B31+1&gt;'Qredits maandlasten'!$C$4,"",IF(B31&lt;'Qredits maandlasten'!$C$11-1,0,IF('Qredits maandlasten'!$C$10=dropdowns!$A$93,'Qredits maandlasten'!$J$3,IF('Qredits maandlasten'!$C$10=dropdowns!$A$92,IFERROR('Qredits maandlasten'!$J$3-K32,0),0)))))</f>
        <v/>
      </c>
      <c r="K32" s="130" t="str">
        <f>IF($B31="","",IF($B31+1&gt;'Qredits maandlasten'!$C$4,"",G32*I32*'Qredits maandlasten'!$C$8))</f>
        <v/>
      </c>
      <c r="L32" s="130" t="str">
        <f t="shared" si="2"/>
        <v/>
      </c>
      <c r="M32" s="130" t="str">
        <f t="shared" si="0"/>
        <v/>
      </c>
      <c r="N32" s="129"/>
      <c r="O32" s="131" t="str">
        <f>IF($B32="","",'Qredits maandlasten'!$C$8)</f>
        <v/>
      </c>
      <c r="P32" s="131" t="str">
        <f>IF($B32="","",'Qredits maandlasten'!$C$8*(POWER(1+'Qredits maandlasten'!$C$8,$B32-1+1)))</f>
        <v/>
      </c>
      <c r="Q32" s="131" t="str">
        <f t="shared" si="3"/>
        <v/>
      </c>
      <c r="R32" s="129"/>
      <c r="S32" s="130" t="str">
        <f t="shared" si="1"/>
        <v/>
      </c>
      <c r="T32" s="130" t="str">
        <f>IF(S32="","",J32/(POWER(1+'Qredits maandlasten'!$C$8,$B32-1+1)))</f>
        <v/>
      </c>
      <c r="U32" s="132" t="str">
        <f t="shared" si="4"/>
        <v/>
      </c>
      <c r="V32" s="130" t="str">
        <f>IF($B32="","",K32/(POWER(1+'Qredits maandlasten'!$C$8,$B32-1+1)))</f>
        <v/>
      </c>
      <c r="W32" s="129"/>
      <c r="X32" s="132"/>
      <c r="Y32" s="133"/>
    </row>
    <row r="33" spans="1:25" s="134" customFormat="1" x14ac:dyDescent="0.2">
      <c r="A33" s="125"/>
      <c r="B33" s="126" t="str">
        <f>IF($B32="","",IF($B32+1&gt;'Qredits maandlasten'!$C$4,"",Schema!B32+1))</f>
        <v/>
      </c>
      <c r="C33" s="127" t="str">
        <f>IF($B32="","",IF($B32+1&gt;'Qredits maandlasten'!$C$4,"",EOMONTH(C32,0)+1))</f>
        <v/>
      </c>
      <c r="D33" s="125"/>
      <c r="E33" s="127" t="str">
        <f>IF($B32="","",IF($B32+1&gt;'Qredits maandlasten'!$C$4,"",F32+1))</f>
        <v/>
      </c>
      <c r="F33" s="127" t="str">
        <f>IF($B32="","",IF($B32+1&gt;'Qredits maandlasten'!$C$4,"",EOMONTH(E33,0)))</f>
        <v/>
      </c>
      <c r="G33" s="128" t="str">
        <f>IF($B32="","",IF($B32+1&gt;'Qredits maandlasten'!$C$4,"",(_xlfn.DAYS(F33,E33)+1)/DAY(F33)))</f>
        <v/>
      </c>
      <c r="H33" s="129"/>
      <c r="I33" s="130" t="str">
        <f>IF($B32="","",IF($B32+1&gt;'Qredits maandlasten'!$C$4,"",I32-J32))</f>
        <v/>
      </c>
      <c r="J33" s="130" t="str">
        <f>IF($B32="","",IF($B32+1&gt;'Qredits maandlasten'!$C$4,"",IF(B32&lt;'Qredits maandlasten'!$C$11-1,0,IF('Qredits maandlasten'!$C$10=dropdowns!$A$93,'Qredits maandlasten'!$J$3,IF('Qredits maandlasten'!$C$10=dropdowns!$A$92,IFERROR('Qredits maandlasten'!$J$3-K33,0),0)))))</f>
        <v/>
      </c>
      <c r="K33" s="130" t="str">
        <f>IF($B32="","",IF($B32+1&gt;'Qredits maandlasten'!$C$4,"",G33*I33*'Qredits maandlasten'!$C$8))</f>
        <v/>
      </c>
      <c r="L33" s="130" t="str">
        <f t="shared" si="2"/>
        <v/>
      </c>
      <c r="M33" s="130" t="str">
        <f t="shared" si="0"/>
        <v/>
      </c>
      <c r="N33" s="129"/>
      <c r="O33" s="131" t="str">
        <f>IF($B33="","",'Qredits maandlasten'!$C$8)</f>
        <v/>
      </c>
      <c r="P33" s="131" t="str">
        <f>IF($B33="","",'Qredits maandlasten'!$C$8*(POWER(1+'Qredits maandlasten'!$C$8,$B33-1+1)))</f>
        <v/>
      </c>
      <c r="Q33" s="131" t="str">
        <f t="shared" si="3"/>
        <v/>
      </c>
      <c r="R33" s="129"/>
      <c r="S33" s="130" t="str">
        <f t="shared" si="1"/>
        <v/>
      </c>
      <c r="T33" s="130" t="str">
        <f>IF(S33="","",J33/(POWER(1+'Qredits maandlasten'!$C$8,$B33-1+1)))</f>
        <v/>
      </c>
      <c r="U33" s="132" t="str">
        <f t="shared" si="4"/>
        <v/>
      </c>
      <c r="V33" s="130" t="str">
        <f>IF($B33="","",K33/(POWER(1+'Qredits maandlasten'!$C$8,$B33-1+1)))</f>
        <v/>
      </c>
      <c r="W33" s="129"/>
      <c r="X33" s="132"/>
      <c r="Y33" s="133"/>
    </row>
    <row r="34" spans="1:25" s="134" customFormat="1" x14ac:dyDescent="0.2">
      <c r="A34" s="125"/>
      <c r="B34" s="126" t="str">
        <f>IF($B33="","",IF($B33+1&gt;'Qredits maandlasten'!$C$4,"",Schema!B33+1))</f>
        <v/>
      </c>
      <c r="C34" s="127" t="str">
        <f>IF($B33="","",IF($B33+1&gt;'Qredits maandlasten'!$C$4,"",EOMONTH(C33,0)+1))</f>
        <v/>
      </c>
      <c r="D34" s="125"/>
      <c r="E34" s="127" t="str">
        <f>IF($B33="","",IF($B33+1&gt;'Qredits maandlasten'!$C$4,"",F33+1))</f>
        <v/>
      </c>
      <c r="F34" s="127" t="str">
        <f>IF($B33="","",IF($B33+1&gt;'Qredits maandlasten'!$C$4,"",EOMONTH(E34,0)))</f>
        <v/>
      </c>
      <c r="G34" s="128" t="str">
        <f>IF($B33="","",IF($B33+1&gt;'Qredits maandlasten'!$C$4,"",(_xlfn.DAYS(F34,E34)+1)/DAY(F34)))</f>
        <v/>
      </c>
      <c r="H34" s="129"/>
      <c r="I34" s="130" t="str">
        <f>IF($B33="","",IF($B33+1&gt;'Qredits maandlasten'!$C$4,"",I33-J33))</f>
        <v/>
      </c>
      <c r="J34" s="130" t="str">
        <f>IF($B33="","",IF($B33+1&gt;'Qredits maandlasten'!$C$4,"",IF(B33&lt;'Qredits maandlasten'!$C$11-1,0,IF('Qredits maandlasten'!$C$10=dropdowns!$A$93,'Qredits maandlasten'!$J$3,IF('Qredits maandlasten'!$C$10=dropdowns!$A$92,IFERROR('Qredits maandlasten'!$J$3-K34,0),0)))))</f>
        <v/>
      </c>
      <c r="K34" s="130" t="str">
        <f>IF($B33="","",IF($B33+1&gt;'Qredits maandlasten'!$C$4,"",G34*I34*'Qredits maandlasten'!$C$8))</f>
        <v/>
      </c>
      <c r="L34" s="130" t="str">
        <f t="shared" si="2"/>
        <v/>
      </c>
      <c r="M34" s="130" t="str">
        <f t="shared" si="0"/>
        <v/>
      </c>
      <c r="N34" s="129"/>
      <c r="O34" s="131" t="str">
        <f>IF($B34="","",'Qredits maandlasten'!$C$8)</f>
        <v/>
      </c>
      <c r="P34" s="131" t="str">
        <f>IF($B34="","",'Qredits maandlasten'!$C$8*(POWER(1+'Qredits maandlasten'!$C$8,$B34-1+1)))</f>
        <v/>
      </c>
      <c r="Q34" s="131" t="str">
        <f t="shared" si="3"/>
        <v/>
      </c>
      <c r="R34" s="129"/>
      <c r="S34" s="130" t="str">
        <f t="shared" si="1"/>
        <v/>
      </c>
      <c r="T34" s="130" t="str">
        <f>IF(S34="","",J34/(POWER(1+'Qredits maandlasten'!$C$8,$B34-1+1)))</f>
        <v/>
      </c>
      <c r="U34" s="132" t="str">
        <f t="shared" si="4"/>
        <v/>
      </c>
      <c r="V34" s="130" t="str">
        <f>IF($B34="","",K34/(POWER(1+'Qredits maandlasten'!$C$8,$B34-1+1)))</f>
        <v/>
      </c>
      <c r="W34" s="129"/>
      <c r="X34" s="132"/>
      <c r="Y34" s="133"/>
    </row>
    <row r="35" spans="1:25" s="134" customFormat="1" x14ac:dyDescent="0.2">
      <c r="A35" s="125"/>
      <c r="B35" s="126" t="str">
        <f>IF($B34="","",IF($B34+1&gt;'Qredits maandlasten'!$C$4,"",Schema!B34+1))</f>
        <v/>
      </c>
      <c r="C35" s="127" t="str">
        <f>IF($B34="","",IF($B34+1&gt;'Qredits maandlasten'!$C$4,"",EOMONTH(C34,0)+1))</f>
        <v/>
      </c>
      <c r="D35" s="125"/>
      <c r="E35" s="127" t="str">
        <f>IF($B34="","",IF($B34+1&gt;'Qredits maandlasten'!$C$4,"",F34+1))</f>
        <v/>
      </c>
      <c r="F35" s="127" t="str">
        <f>IF($B34="","",IF($B34+1&gt;'Qredits maandlasten'!$C$4,"",EOMONTH(E35,0)))</f>
        <v/>
      </c>
      <c r="G35" s="128" t="str">
        <f>IF($B34="","",IF($B34+1&gt;'Qredits maandlasten'!$C$4,"",(_xlfn.DAYS(F35,E35)+1)/DAY(F35)))</f>
        <v/>
      </c>
      <c r="H35" s="129"/>
      <c r="I35" s="130" t="str">
        <f>IF($B34="","",IF($B34+1&gt;'Qredits maandlasten'!$C$4,"",I34-J34))</f>
        <v/>
      </c>
      <c r="J35" s="130" t="str">
        <f>IF($B34="","",IF($B34+1&gt;'Qredits maandlasten'!$C$4,"",IF(B34&lt;'Qredits maandlasten'!$C$11-1,0,IF('Qredits maandlasten'!$C$10=dropdowns!$A$93,'Qredits maandlasten'!$J$3,IF('Qredits maandlasten'!$C$10=dropdowns!$A$92,IFERROR('Qredits maandlasten'!$J$3-K35,0),0)))))</f>
        <v/>
      </c>
      <c r="K35" s="130" t="str">
        <f>IF($B34="","",IF($B34+1&gt;'Qredits maandlasten'!$C$4,"",G35*I35*'Qredits maandlasten'!$C$8))</f>
        <v/>
      </c>
      <c r="L35" s="130" t="str">
        <f t="shared" si="2"/>
        <v/>
      </c>
      <c r="M35" s="130" t="str">
        <f t="shared" si="0"/>
        <v/>
      </c>
      <c r="N35" s="129"/>
      <c r="O35" s="131" t="str">
        <f>IF($B35="","",'Qredits maandlasten'!$C$8)</f>
        <v/>
      </c>
      <c r="P35" s="131" t="str">
        <f>IF($B35="","",'Qredits maandlasten'!$C$8*(POWER(1+'Qredits maandlasten'!$C$8,$B35-1+1)))</f>
        <v/>
      </c>
      <c r="Q35" s="131" t="str">
        <f t="shared" si="3"/>
        <v/>
      </c>
      <c r="R35" s="129"/>
      <c r="S35" s="130" t="str">
        <f t="shared" si="1"/>
        <v/>
      </c>
      <c r="T35" s="130" t="str">
        <f>IF(S35="","",J35/(POWER(1+'Qredits maandlasten'!$C$8,$B35-1+1)))</f>
        <v/>
      </c>
      <c r="U35" s="132" t="str">
        <f t="shared" si="4"/>
        <v/>
      </c>
      <c r="V35" s="130" t="str">
        <f>IF($B35="","",K35/(POWER(1+'Qredits maandlasten'!$C$8,$B35-1+1)))</f>
        <v/>
      </c>
      <c r="W35" s="129"/>
      <c r="X35" s="132"/>
      <c r="Y35" s="133"/>
    </row>
    <row r="36" spans="1:25" s="134" customFormat="1" x14ac:dyDescent="0.2">
      <c r="A36" s="125"/>
      <c r="B36" s="126" t="str">
        <f>IF($B35="","",IF($B35+1&gt;'Qredits maandlasten'!$C$4,"",Schema!B35+1))</f>
        <v/>
      </c>
      <c r="C36" s="127" t="str">
        <f>IF($B35="","",IF($B35+1&gt;'Qredits maandlasten'!$C$4,"",EOMONTH(C35,0)+1))</f>
        <v/>
      </c>
      <c r="D36" s="125"/>
      <c r="E36" s="127" t="str">
        <f>IF($B35="","",IF($B35+1&gt;'Qredits maandlasten'!$C$4,"",F35+1))</f>
        <v/>
      </c>
      <c r="F36" s="127" t="str">
        <f>IF($B35="","",IF($B35+1&gt;'Qredits maandlasten'!$C$4,"",EOMONTH(E36,0)))</f>
        <v/>
      </c>
      <c r="G36" s="128" t="str">
        <f>IF($B35="","",IF($B35+1&gt;'Qredits maandlasten'!$C$4,"",(_xlfn.DAYS(F36,E36)+1)/DAY(F36)))</f>
        <v/>
      </c>
      <c r="H36" s="129"/>
      <c r="I36" s="130" t="str">
        <f>IF($B35="","",IF($B35+1&gt;'Qredits maandlasten'!$C$4,"",I35-J35))</f>
        <v/>
      </c>
      <c r="J36" s="130" t="str">
        <f>IF($B35="","",IF($B35+1&gt;'Qredits maandlasten'!$C$4,"",IF(B35&lt;'Qredits maandlasten'!$C$11-1,0,IF('Qredits maandlasten'!$C$10=dropdowns!$A$93,'Qredits maandlasten'!$J$3,IF('Qredits maandlasten'!$C$10=dropdowns!$A$92,IFERROR('Qredits maandlasten'!$J$3-K36,0),0)))))</f>
        <v/>
      </c>
      <c r="K36" s="130" t="str">
        <f>IF($B35="","",IF($B35+1&gt;'Qredits maandlasten'!$C$4,"",G36*I36*'Qredits maandlasten'!$C$8))</f>
        <v/>
      </c>
      <c r="L36" s="130" t="str">
        <f t="shared" si="2"/>
        <v/>
      </c>
      <c r="M36" s="130" t="str">
        <f t="shared" si="0"/>
        <v/>
      </c>
      <c r="N36" s="129"/>
      <c r="O36" s="131" t="str">
        <f>IF($B36="","",'Qredits maandlasten'!$C$8)</f>
        <v/>
      </c>
      <c r="P36" s="131" t="str">
        <f>IF($B36="","",'Qredits maandlasten'!$C$8*(POWER(1+'Qredits maandlasten'!$C$8,$B36-1+1)))</f>
        <v/>
      </c>
      <c r="Q36" s="131" t="str">
        <f t="shared" si="3"/>
        <v/>
      </c>
      <c r="R36" s="129"/>
      <c r="S36" s="130" t="str">
        <f t="shared" si="1"/>
        <v/>
      </c>
      <c r="T36" s="130" t="str">
        <f>IF(S36="","",J36/(POWER(1+'Qredits maandlasten'!$C$8,$B36-1+1)))</f>
        <v/>
      </c>
      <c r="U36" s="132" t="str">
        <f t="shared" si="4"/>
        <v/>
      </c>
      <c r="V36" s="130" t="str">
        <f>IF($B36="","",K36/(POWER(1+'Qredits maandlasten'!$C$8,$B36-1+1)))</f>
        <v/>
      </c>
      <c r="W36" s="129"/>
      <c r="X36" s="132"/>
      <c r="Y36" s="133"/>
    </row>
    <row r="37" spans="1:25" s="134" customFormat="1" x14ac:dyDescent="0.2">
      <c r="A37" s="125"/>
      <c r="B37" s="126" t="str">
        <f>IF($B36="","",IF($B36+1&gt;'Qredits maandlasten'!$C$4,"",Schema!B36+1))</f>
        <v/>
      </c>
      <c r="C37" s="127" t="str">
        <f>IF($B36="","",IF($B36+1&gt;'Qredits maandlasten'!$C$4,"",EOMONTH(C36,0)+1))</f>
        <v/>
      </c>
      <c r="D37" s="125"/>
      <c r="E37" s="127" t="str">
        <f>IF($B36="","",IF($B36+1&gt;'Qredits maandlasten'!$C$4,"",F36+1))</f>
        <v/>
      </c>
      <c r="F37" s="127" t="str">
        <f>IF($B36="","",IF($B36+1&gt;'Qredits maandlasten'!$C$4,"",EOMONTH(E37,0)))</f>
        <v/>
      </c>
      <c r="G37" s="128" t="str">
        <f>IF($B36="","",IF($B36+1&gt;'Qredits maandlasten'!$C$4,"",(_xlfn.DAYS(F37,E37)+1)/DAY(F37)))</f>
        <v/>
      </c>
      <c r="H37" s="129"/>
      <c r="I37" s="130" t="str">
        <f>IF($B36="","",IF($B36+1&gt;'Qredits maandlasten'!$C$4,"",I36-J36))</f>
        <v/>
      </c>
      <c r="J37" s="130" t="str">
        <f>IF($B36="","",IF($B36+1&gt;'Qredits maandlasten'!$C$4,"",IF(B36&lt;'Qredits maandlasten'!$C$11-1,0,IF('Qredits maandlasten'!$C$10=dropdowns!$A$93,'Qredits maandlasten'!$J$3,IF('Qredits maandlasten'!$C$10=dropdowns!$A$92,IFERROR('Qredits maandlasten'!$J$3-K37,0),0)))))</f>
        <v/>
      </c>
      <c r="K37" s="130" t="str">
        <f>IF($B36="","",IF($B36+1&gt;'Qredits maandlasten'!$C$4,"",G37*I37*'Qredits maandlasten'!$C$8))</f>
        <v/>
      </c>
      <c r="L37" s="130" t="str">
        <f t="shared" si="2"/>
        <v/>
      </c>
      <c r="M37" s="130" t="str">
        <f t="shared" si="0"/>
        <v/>
      </c>
      <c r="N37" s="129"/>
      <c r="O37" s="131" t="str">
        <f>IF($B37="","",'Qredits maandlasten'!$C$8)</f>
        <v/>
      </c>
      <c r="P37" s="131" t="str">
        <f>IF($B37="","",'Qredits maandlasten'!$C$8*(POWER(1+'Qredits maandlasten'!$C$8,$B37-1+1)))</f>
        <v/>
      </c>
      <c r="Q37" s="131" t="str">
        <f t="shared" si="3"/>
        <v/>
      </c>
      <c r="R37" s="129"/>
      <c r="S37" s="130" t="str">
        <f t="shared" si="1"/>
        <v/>
      </c>
      <c r="T37" s="130" t="str">
        <f>IF(S37="","",J37/(POWER(1+'Qredits maandlasten'!$C$8,$B37-1+1)))</f>
        <v/>
      </c>
      <c r="U37" s="132" t="str">
        <f t="shared" si="4"/>
        <v/>
      </c>
      <c r="V37" s="130" t="str">
        <f>IF($B37="","",K37/(POWER(1+'Qredits maandlasten'!$C$8,$B37-1+1)))</f>
        <v/>
      </c>
      <c r="W37" s="129"/>
      <c r="X37" s="132"/>
      <c r="Y37" s="133"/>
    </row>
    <row r="38" spans="1:25" s="134" customFormat="1" x14ac:dyDescent="0.2">
      <c r="A38" s="125"/>
      <c r="B38" s="126" t="str">
        <f>IF($B37="","",IF($B37+1&gt;'Qredits maandlasten'!$C$4,"",Schema!B37+1))</f>
        <v/>
      </c>
      <c r="C38" s="127" t="str">
        <f>IF($B37="","",IF($B37+1&gt;'Qredits maandlasten'!$C$4,"",EOMONTH(C37,0)+1))</f>
        <v/>
      </c>
      <c r="D38" s="125"/>
      <c r="E38" s="127" t="str">
        <f>IF($B37="","",IF($B37+1&gt;'Qredits maandlasten'!$C$4,"",F37+1))</f>
        <v/>
      </c>
      <c r="F38" s="127" t="str">
        <f>IF($B37="","",IF($B37+1&gt;'Qredits maandlasten'!$C$4,"",EOMONTH(E38,0)))</f>
        <v/>
      </c>
      <c r="G38" s="128" t="str">
        <f>IF($B37="","",IF($B37+1&gt;'Qredits maandlasten'!$C$4,"",(_xlfn.DAYS(F38,E38)+1)/DAY(F38)))</f>
        <v/>
      </c>
      <c r="H38" s="129"/>
      <c r="I38" s="130" t="str">
        <f>IF($B37="","",IF($B37+1&gt;'Qredits maandlasten'!$C$4,"",I37-J37))</f>
        <v/>
      </c>
      <c r="J38" s="130" t="str">
        <f>IF($B37="","",IF($B37+1&gt;'Qredits maandlasten'!$C$4,"",IF(B37&lt;'Qredits maandlasten'!$C$11-1,0,IF('Qredits maandlasten'!$C$10=dropdowns!$A$93,'Qredits maandlasten'!$J$3,IF('Qredits maandlasten'!$C$10=dropdowns!$A$92,IFERROR('Qredits maandlasten'!$J$3-K38,0),0)))))</f>
        <v/>
      </c>
      <c r="K38" s="130" t="str">
        <f>IF($B37="","",IF($B37+1&gt;'Qredits maandlasten'!$C$4,"",G38*I38*'Qredits maandlasten'!$C$8))</f>
        <v/>
      </c>
      <c r="L38" s="130" t="str">
        <f t="shared" si="2"/>
        <v/>
      </c>
      <c r="M38" s="130" t="str">
        <f t="shared" si="0"/>
        <v/>
      </c>
      <c r="N38" s="129"/>
      <c r="O38" s="131" t="str">
        <f>IF($B38="","",'Qredits maandlasten'!$C$8)</f>
        <v/>
      </c>
      <c r="P38" s="131" t="str">
        <f>IF($B38="","",'Qredits maandlasten'!$C$8*(POWER(1+'Qredits maandlasten'!$C$8,$B38-1+1)))</f>
        <v/>
      </c>
      <c r="Q38" s="131" t="str">
        <f t="shared" si="3"/>
        <v/>
      </c>
      <c r="R38" s="129"/>
      <c r="S38" s="130" t="str">
        <f t="shared" si="1"/>
        <v/>
      </c>
      <c r="T38" s="130" t="str">
        <f>IF(S38="","",J38/(POWER(1+'Qredits maandlasten'!$C$8,$B38-1+1)))</f>
        <v/>
      </c>
      <c r="U38" s="132" t="str">
        <f t="shared" si="4"/>
        <v/>
      </c>
      <c r="V38" s="130" t="str">
        <f>IF($B38="","",K38/(POWER(1+'Qredits maandlasten'!$C$8,$B38-1+1)))</f>
        <v/>
      </c>
      <c r="W38" s="129"/>
      <c r="X38" s="132"/>
      <c r="Y38" s="133"/>
    </row>
    <row r="39" spans="1:25" s="134" customFormat="1" x14ac:dyDescent="0.2">
      <c r="A39" s="125"/>
      <c r="B39" s="126" t="str">
        <f>IF($B38="","",IF($B38+1&gt;'Qredits maandlasten'!$C$4,"",Schema!B38+1))</f>
        <v/>
      </c>
      <c r="C39" s="127" t="str">
        <f>IF($B38="","",IF($B38+1&gt;'Qredits maandlasten'!$C$4,"",EOMONTH(C38,0)+1))</f>
        <v/>
      </c>
      <c r="D39" s="125"/>
      <c r="E39" s="127" t="str">
        <f>IF($B38="","",IF($B38+1&gt;'Qredits maandlasten'!$C$4,"",F38+1))</f>
        <v/>
      </c>
      <c r="F39" s="127" t="str">
        <f>IF($B38="","",IF($B38+1&gt;'Qredits maandlasten'!$C$4,"",EOMONTH(E39,0)))</f>
        <v/>
      </c>
      <c r="G39" s="128" t="str">
        <f>IF($B38="","",IF($B38+1&gt;'Qredits maandlasten'!$C$4,"",(_xlfn.DAYS(F39,E39)+1)/DAY(F39)))</f>
        <v/>
      </c>
      <c r="H39" s="129"/>
      <c r="I39" s="130" t="str">
        <f>IF($B38="","",IF($B38+1&gt;'Qredits maandlasten'!$C$4,"",I38-J38))</f>
        <v/>
      </c>
      <c r="J39" s="130" t="str">
        <f>IF($B38="","",IF($B38+1&gt;'Qredits maandlasten'!$C$4,"",IF(B38&lt;'Qredits maandlasten'!$C$11-1,0,IF('Qredits maandlasten'!$C$10=dropdowns!$A$93,'Qredits maandlasten'!$J$3,IF('Qredits maandlasten'!$C$10=dropdowns!$A$92,IFERROR('Qredits maandlasten'!$J$3-K39,0),0)))))</f>
        <v/>
      </c>
      <c r="K39" s="130" t="str">
        <f>IF($B38="","",IF($B38+1&gt;'Qredits maandlasten'!$C$4,"",G39*I39*'Qredits maandlasten'!$C$8))</f>
        <v/>
      </c>
      <c r="L39" s="130" t="str">
        <f t="shared" si="2"/>
        <v/>
      </c>
      <c r="M39" s="130" t="str">
        <f t="shared" si="0"/>
        <v/>
      </c>
      <c r="N39" s="129"/>
      <c r="O39" s="131" t="str">
        <f>IF($B39="","",'Qredits maandlasten'!$C$8)</f>
        <v/>
      </c>
      <c r="P39" s="131" t="str">
        <f>IF($B39="","",'Qredits maandlasten'!$C$8*(POWER(1+'Qredits maandlasten'!$C$8,$B39-1+1)))</f>
        <v/>
      </c>
      <c r="Q39" s="131" t="str">
        <f t="shared" si="3"/>
        <v/>
      </c>
      <c r="R39" s="129"/>
      <c r="S39" s="130" t="str">
        <f t="shared" si="1"/>
        <v/>
      </c>
      <c r="T39" s="130" t="str">
        <f>IF(S39="","",J39/(POWER(1+'Qredits maandlasten'!$C$8,$B39-1+1)))</f>
        <v/>
      </c>
      <c r="U39" s="132" t="str">
        <f t="shared" si="4"/>
        <v/>
      </c>
      <c r="V39" s="130" t="str">
        <f>IF($B39="","",K39/(POWER(1+'Qredits maandlasten'!$C$8,$B39-1+1)))</f>
        <v/>
      </c>
      <c r="W39" s="129"/>
      <c r="X39" s="132"/>
      <c r="Y39" s="133"/>
    </row>
    <row r="40" spans="1:25" s="134" customFormat="1" x14ac:dyDescent="0.2">
      <c r="A40" s="125"/>
      <c r="B40" s="126" t="str">
        <f>IF($B39="","",IF($B39+1&gt;'Qredits maandlasten'!$C$4,"",Schema!B39+1))</f>
        <v/>
      </c>
      <c r="C40" s="127" t="str">
        <f>IF($B39="","",IF($B39+1&gt;'Qredits maandlasten'!$C$4,"",EOMONTH(C39,0)+1))</f>
        <v/>
      </c>
      <c r="D40" s="125"/>
      <c r="E40" s="127" t="str">
        <f>IF($B39="","",IF($B39+1&gt;'Qredits maandlasten'!$C$4,"",F39+1))</f>
        <v/>
      </c>
      <c r="F40" s="127" t="str">
        <f>IF($B39="","",IF($B39+1&gt;'Qredits maandlasten'!$C$4,"",EOMONTH(E40,0)))</f>
        <v/>
      </c>
      <c r="G40" s="128" t="str">
        <f>IF($B39="","",IF($B39+1&gt;'Qredits maandlasten'!$C$4,"",(_xlfn.DAYS(F40,E40)+1)/DAY(F40)))</f>
        <v/>
      </c>
      <c r="H40" s="129"/>
      <c r="I40" s="130" t="str">
        <f>IF($B39="","",IF($B39+1&gt;'Qredits maandlasten'!$C$4,"",I39-J39))</f>
        <v/>
      </c>
      <c r="J40" s="130" t="str">
        <f>IF($B39="","",IF($B39+1&gt;'Qredits maandlasten'!$C$4,"",IF(B39&lt;'Qredits maandlasten'!$C$11-1,0,IF('Qredits maandlasten'!$C$10=dropdowns!$A$93,'Qredits maandlasten'!$J$3,IF('Qredits maandlasten'!$C$10=dropdowns!$A$92,IFERROR('Qredits maandlasten'!$J$3-K40,0),0)))))</f>
        <v/>
      </c>
      <c r="K40" s="130" t="str">
        <f>IF($B39="","",IF($B39+1&gt;'Qredits maandlasten'!$C$4,"",G40*I40*'Qredits maandlasten'!$C$8))</f>
        <v/>
      </c>
      <c r="L40" s="130" t="str">
        <f t="shared" si="2"/>
        <v/>
      </c>
      <c r="M40" s="130" t="str">
        <f t="shared" si="0"/>
        <v/>
      </c>
      <c r="N40" s="129"/>
      <c r="O40" s="131" t="str">
        <f>IF($B40="","",'Qredits maandlasten'!$C$8)</f>
        <v/>
      </c>
      <c r="P40" s="131" t="str">
        <f>IF($B40="","",'Qredits maandlasten'!$C$8*(POWER(1+'Qredits maandlasten'!$C$8,$B40-1+1)))</f>
        <v/>
      </c>
      <c r="Q40" s="131" t="str">
        <f t="shared" si="3"/>
        <v/>
      </c>
      <c r="R40" s="129"/>
      <c r="S40" s="130" t="str">
        <f t="shared" si="1"/>
        <v/>
      </c>
      <c r="T40" s="130" t="str">
        <f>IF(S40="","",J40/(POWER(1+'Qredits maandlasten'!$C$8,$B40-1+1)))</f>
        <v/>
      </c>
      <c r="U40" s="132" t="str">
        <f t="shared" si="4"/>
        <v/>
      </c>
      <c r="V40" s="130" t="str">
        <f>IF($B40="","",K40/(POWER(1+'Qredits maandlasten'!$C$8,$B40-1+1)))</f>
        <v/>
      </c>
      <c r="W40" s="129"/>
      <c r="X40" s="132"/>
      <c r="Y40" s="133"/>
    </row>
    <row r="41" spans="1:25" s="134" customFormat="1" x14ac:dyDescent="0.2">
      <c r="A41" s="125"/>
      <c r="B41" s="126" t="str">
        <f>IF($B40="","",IF($B40+1&gt;'Qredits maandlasten'!$C$4,"",Schema!B40+1))</f>
        <v/>
      </c>
      <c r="C41" s="127" t="str">
        <f>IF($B40="","",IF($B40+1&gt;'Qredits maandlasten'!$C$4,"",EOMONTH(C40,0)+1))</f>
        <v/>
      </c>
      <c r="D41" s="125"/>
      <c r="E41" s="127" t="str">
        <f>IF($B40="","",IF($B40+1&gt;'Qredits maandlasten'!$C$4,"",F40+1))</f>
        <v/>
      </c>
      <c r="F41" s="127" t="str">
        <f>IF($B40="","",IF($B40+1&gt;'Qredits maandlasten'!$C$4,"",EOMONTH(E41,0)))</f>
        <v/>
      </c>
      <c r="G41" s="128" t="str">
        <f>IF($B40="","",IF($B40+1&gt;'Qredits maandlasten'!$C$4,"",(_xlfn.DAYS(F41,E41)+1)/DAY(F41)))</f>
        <v/>
      </c>
      <c r="H41" s="129"/>
      <c r="I41" s="130" t="str">
        <f>IF($B40="","",IF($B40+1&gt;'Qredits maandlasten'!$C$4,"",I40-J40))</f>
        <v/>
      </c>
      <c r="J41" s="130" t="str">
        <f>IF($B40="","",IF($B40+1&gt;'Qredits maandlasten'!$C$4,"",IF(B40&lt;'Qredits maandlasten'!$C$11-1,0,IF('Qredits maandlasten'!$C$10=dropdowns!$A$93,'Qredits maandlasten'!$J$3,IF('Qredits maandlasten'!$C$10=dropdowns!$A$92,IFERROR('Qredits maandlasten'!$J$3-K41,0),0)))))</f>
        <v/>
      </c>
      <c r="K41" s="130" t="str">
        <f>IF($B40="","",IF($B40+1&gt;'Qredits maandlasten'!$C$4,"",G41*I41*'Qredits maandlasten'!$C$8))</f>
        <v/>
      </c>
      <c r="L41" s="130" t="str">
        <f t="shared" si="2"/>
        <v/>
      </c>
      <c r="M41" s="130" t="str">
        <f t="shared" si="0"/>
        <v/>
      </c>
      <c r="N41" s="129"/>
      <c r="O41" s="131" t="str">
        <f>IF($B41="","",'Qredits maandlasten'!$C$8)</f>
        <v/>
      </c>
      <c r="P41" s="131" t="str">
        <f>IF($B41="","",'Qredits maandlasten'!$C$8*(POWER(1+'Qredits maandlasten'!$C$8,$B41-1+1)))</f>
        <v/>
      </c>
      <c r="Q41" s="131" t="str">
        <f t="shared" si="3"/>
        <v/>
      </c>
      <c r="R41" s="129"/>
      <c r="S41" s="130" t="str">
        <f t="shared" si="1"/>
        <v/>
      </c>
      <c r="T41" s="130" t="str">
        <f>IF(S41="","",J41/(POWER(1+'Qredits maandlasten'!$C$8,$B41-1+1)))</f>
        <v/>
      </c>
      <c r="U41" s="132" t="str">
        <f t="shared" si="4"/>
        <v/>
      </c>
      <c r="V41" s="130" t="str">
        <f>IF($B41="","",K41/(POWER(1+'Qredits maandlasten'!$C$8,$B41-1+1)))</f>
        <v/>
      </c>
      <c r="W41" s="129"/>
      <c r="X41" s="132"/>
      <c r="Y41" s="133"/>
    </row>
    <row r="42" spans="1:25" s="134" customFormat="1" x14ac:dyDescent="0.2">
      <c r="A42" s="125"/>
      <c r="B42" s="126" t="str">
        <f>IF($B41="","",IF($B41+1&gt;'Qredits maandlasten'!$C$4,"",Schema!B41+1))</f>
        <v/>
      </c>
      <c r="C42" s="127" t="str">
        <f>IF($B41="","",IF($B41+1&gt;'Qredits maandlasten'!$C$4,"",EOMONTH(C41,0)+1))</f>
        <v/>
      </c>
      <c r="D42" s="125"/>
      <c r="E42" s="127" t="str">
        <f>IF($B41="","",IF($B41+1&gt;'Qredits maandlasten'!$C$4,"",F41+1))</f>
        <v/>
      </c>
      <c r="F42" s="127" t="str">
        <f>IF($B41="","",IF($B41+1&gt;'Qredits maandlasten'!$C$4,"",EOMONTH(E42,0)))</f>
        <v/>
      </c>
      <c r="G42" s="128" t="str">
        <f>IF($B41="","",IF($B41+1&gt;'Qredits maandlasten'!$C$4,"",(_xlfn.DAYS(F42,E42)+1)/DAY(F42)))</f>
        <v/>
      </c>
      <c r="H42" s="129"/>
      <c r="I42" s="130" t="str">
        <f>IF($B41="","",IF($B41+1&gt;'Qredits maandlasten'!$C$4,"",I41-J41))</f>
        <v/>
      </c>
      <c r="J42" s="130" t="str">
        <f>IF($B41="","",IF($B41+1&gt;'Qredits maandlasten'!$C$4,"",IF(B41&lt;'Qredits maandlasten'!$C$11-1,0,IF('Qredits maandlasten'!$C$10=dropdowns!$A$93,'Qredits maandlasten'!$J$3,IF('Qredits maandlasten'!$C$10=dropdowns!$A$92,IFERROR('Qredits maandlasten'!$J$3-K42,0),0)))))</f>
        <v/>
      </c>
      <c r="K42" s="130" t="str">
        <f>IF($B41="","",IF($B41+1&gt;'Qredits maandlasten'!$C$4,"",G42*I42*'Qredits maandlasten'!$C$8))</f>
        <v/>
      </c>
      <c r="L42" s="130" t="str">
        <f t="shared" si="2"/>
        <v/>
      </c>
      <c r="M42" s="130" t="str">
        <f t="shared" si="0"/>
        <v/>
      </c>
      <c r="N42" s="129"/>
      <c r="O42" s="131" t="str">
        <f>IF($B42="","",'Qredits maandlasten'!$C$8)</f>
        <v/>
      </c>
      <c r="P42" s="131" t="str">
        <f>IF($B42="","",'Qredits maandlasten'!$C$8*(POWER(1+'Qredits maandlasten'!$C$8,$B42-1+1)))</f>
        <v/>
      </c>
      <c r="Q42" s="131" t="str">
        <f t="shared" si="3"/>
        <v/>
      </c>
      <c r="R42" s="129"/>
      <c r="S42" s="130" t="str">
        <f t="shared" si="1"/>
        <v/>
      </c>
      <c r="T42" s="130" t="str">
        <f>IF(S42="","",J42/(POWER(1+'Qredits maandlasten'!$C$8,$B42-1+1)))</f>
        <v/>
      </c>
      <c r="U42" s="132" t="str">
        <f t="shared" si="4"/>
        <v/>
      </c>
      <c r="V42" s="130" t="str">
        <f>IF($B42="","",K42/(POWER(1+'Qredits maandlasten'!$C$8,$B42-1+1)))</f>
        <v/>
      </c>
      <c r="W42" s="129"/>
      <c r="X42" s="132"/>
      <c r="Y42" s="133"/>
    </row>
    <row r="43" spans="1:25" s="134" customFormat="1" x14ac:dyDescent="0.2">
      <c r="A43" s="125"/>
      <c r="B43" s="126" t="str">
        <f>IF($B42="","",IF($B42+1&gt;'Qredits maandlasten'!$C$4,"",Schema!B42+1))</f>
        <v/>
      </c>
      <c r="C43" s="127" t="str">
        <f>IF($B42="","",IF($B42+1&gt;'Qredits maandlasten'!$C$4,"",EOMONTH(C42,0)+1))</f>
        <v/>
      </c>
      <c r="D43" s="125"/>
      <c r="E43" s="127" t="str">
        <f>IF($B42="","",IF($B42+1&gt;'Qredits maandlasten'!$C$4,"",F42+1))</f>
        <v/>
      </c>
      <c r="F43" s="127" t="str">
        <f>IF($B42="","",IF($B42+1&gt;'Qredits maandlasten'!$C$4,"",EOMONTH(E43,0)))</f>
        <v/>
      </c>
      <c r="G43" s="128" t="str">
        <f>IF($B42="","",IF($B42+1&gt;'Qredits maandlasten'!$C$4,"",(_xlfn.DAYS(F43,E43)+1)/DAY(F43)))</f>
        <v/>
      </c>
      <c r="H43" s="129"/>
      <c r="I43" s="130" t="str">
        <f>IF($B42="","",IF($B42+1&gt;'Qredits maandlasten'!$C$4,"",I42-J42))</f>
        <v/>
      </c>
      <c r="J43" s="130" t="str">
        <f>IF($B42="","",IF($B42+1&gt;'Qredits maandlasten'!$C$4,"",IF(B42&lt;'Qredits maandlasten'!$C$11-1,0,IF('Qredits maandlasten'!$C$10=dropdowns!$A$93,'Qredits maandlasten'!$J$3,IF('Qredits maandlasten'!$C$10=dropdowns!$A$92,IFERROR('Qredits maandlasten'!$J$3-K43,0),0)))))</f>
        <v/>
      </c>
      <c r="K43" s="130" t="str">
        <f>IF($B42="","",IF($B42+1&gt;'Qredits maandlasten'!$C$4,"",G43*I43*'Qredits maandlasten'!$C$8))</f>
        <v/>
      </c>
      <c r="L43" s="130" t="str">
        <f t="shared" si="2"/>
        <v/>
      </c>
      <c r="M43" s="130" t="str">
        <f t="shared" si="0"/>
        <v/>
      </c>
      <c r="N43" s="129"/>
      <c r="O43" s="131" t="str">
        <f>IF($B43="","",'Qredits maandlasten'!$C$8)</f>
        <v/>
      </c>
      <c r="P43" s="131" t="str">
        <f>IF($B43="","",'Qredits maandlasten'!$C$8*(POWER(1+'Qredits maandlasten'!$C$8,$B43-1+1)))</f>
        <v/>
      </c>
      <c r="Q43" s="131" t="str">
        <f t="shared" si="3"/>
        <v/>
      </c>
      <c r="R43" s="129"/>
      <c r="S43" s="130" t="str">
        <f t="shared" si="1"/>
        <v/>
      </c>
      <c r="T43" s="130" t="str">
        <f>IF(S43="","",J43/(POWER(1+'Qredits maandlasten'!$C$8,$B43-1+1)))</f>
        <v/>
      </c>
      <c r="U43" s="132" t="str">
        <f t="shared" si="4"/>
        <v/>
      </c>
      <c r="V43" s="130" t="str">
        <f>IF($B43="","",K43/(POWER(1+'Qredits maandlasten'!$C$8,$B43-1+1)))</f>
        <v/>
      </c>
      <c r="W43" s="129"/>
      <c r="X43" s="132"/>
      <c r="Y43" s="133"/>
    </row>
    <row r="44" spans="1:25" s="134" customFormat="1" x14ac:dyDescent="0.2">
      <c r="A44" s="125"/>
      <c r="B44" s="126" t="str">
        <f>IF($B43="","",IF($B43+1&gt;'Qredits maandlasten'!$C$4,"",Schema!B43+1))</f>
        <v/>
      </c>
      <c r="C44" s="127" t="str">
        <f>IF($B43="","",IF($B43+1&gt;'Qredits maandlasten'!$C$4,"",EOMONTH(C43,0)+1))</f>
        <v/>
      </c>
      <c r="D44" s="125"/>
      <c r="E44" s="127" t="str">
        <f>IF($B43="","",IF($B43+1&gt;'Qredits maandlasten'!$C$4,"",F43+1))</f>
        <v/>
      </c>
      <c r="F44" s="127" t="str">
        <f>IF($B43="","",IF($B43+1&gt;'Qredits maandlasten'!$C$4,"",EOMONTH(E44,0)))</f>
        <v/>
      </c>
      <c r="G44" s="128" t="str">
        <f>IF($B43="","",IF($B43+1&gt;'Qredits maandlasten'!$C$4,"",(_xlfn.DAYS(F44,E44)+1)/DAY(F44)))</f>
        <v/>
      </c>
      <c r="H44" s="129"/>
      <c r="I44" s="130" t="str">
        <f>IF($B43="","",IF($B43+1&gt;'Qredits maandlasten'!$C$4,"",I43-J43))</f>
        <v/>
      </c>
      <c r="J44" s="130" t="str">
        <f>IF($B43="","",IF($B43+1&gt;'Qredits maandlasten'!$C$4,"",IF(B43&lt;'Qredits maandlasten'!$C$11-1,0,IF('Qredits maandlasten'!$C$10=dropdowns!$A$93,'Qredits maandlasten'!$J$3,IF('Qredits maandlasten'!$C$10=dropdowns!$A$92,IFERROR('Qredits maandlasten'!$J$3-K44,0),0)))))</f>
        <v/>
      </c>
      <c r="K44" s="130" t="str">
        <f>IF($B43="","",IF($B43+1&gt;'Qredits maandlasten'!$C$4,"",G44*I44*'Qredits maandlasten'!$C$8))</f>
        <v/>
      </c>
      <c r="L44" s="130" t="str">
        <f t="shared" si="2"/>
        <v/>
      </c>
      <c r="M44" s="130" t="str">
        <f t="shared" si="0"/>
        <v/>
      </c>
      <c r="N44" s="129"/>
      <c r="O44" s="131" t="str">
        <f>IF($B44="","",'Qredits maandlasten'!$C$8)</f>
        <v/>
      </c>
      <c r="P44" s="131" t="str">
        <f>IF($B44="","",'Qredits maandlasten'!$C$8*(POWER(1+'Qredits maandlasten'!$C$8,$B44-1+1)))</f>
        <v/>
      </c>
      <c r="Q44" s="131" t="str">
        <f t="shared" si="3"/>
        <v/>
      </c>
      <c r="R44" s="129"/>
      <c r="S44" s="130" t="str">
        <f t="shared" si="1"/>
        <v/>
      </c>
      <c r="T44" s="130" t="str">
        <f>IF(S44="","",J44/(POWER(1+'Qredits maandlasten'!$C$8,$B44-1+1)))</f>
        <v/>
      </c>
      <c r="U44" s="132" t="str">
        <f t="shared" si="4"/>
        <v/>
      </c>
      <c r="V44" s="130" t="str">
        <f>IF($B44="","",K44/(POWER(1+'Qredits maandlasten'!$C$8,$B44-1+1)))</f>
        <v/>
      </c>
      <c r="W44" s="129"/>
      <c r="X44" s="132"/>
      <c r="Y44" s="133"/>
    </row>
    <row r="45" spans="1:25" s="134" customFormat="1" x14ac:dyDescent="0.2">
      <c r="A45" s="125"/>
      <c r="B45" s="126" t="str">
        <f>IF($B44="","",IF($B44+1&gt;'Qredits maandlasten'!$C$4,"",Schema!B44+1))</f>
        <v/>
      </c>
      <c r="C45" s="127" t="str">
        <f>IF($B44="","",IF($B44+1&gt;'Qredits maandlasten'!$C$4,"",EOMONTH(C44,0)+1))</f>
        <v/>
      </c>
      <c r="D45" s="125"/>
      <c r="E45" s="127" t="str">
        <f>IF($B44="","",IF($B44+1&gt;'Qredits maandlasten'!$C$4,"",F44+1))</f>
        <v/>
      </c>
      <c r="F45" s="127" t="str">
        <f>IF($B44="","",IF($B44+1&gt;'Qredits maandlasten'!$C$4,"",EOMONTH(E45,0)))</f>
        <v/>
      </c>
      <c r="G45" s="128" t="str">
        <f>IF($B44="","",IF($B44+1&gt;'Qredits maandlasten'!$C$4,"",(_xlfn.DAYS(F45,E45)+1)/DAY(F45)))</f>
        <v/>
      </c>
      <c r="H45" s="129"/>
      <c r="I45" s="130" t="str">
        <f>IF($B44="","",IF($B44+1&gt;'Qredits maandlasten'!$C$4,"",I44-J44))</f>
        <v/>
      </c>
      <c r="J45" s="130" t="str">
        <f>IF($B44="","",IF($B44+1&gt;'Qredits maandlasten'!$C$4,"",IF(B44&lt;'Qredits maandlasten'!$C$11-1,0,IF('Qredits maandlasten'!$C$10=dropdowns!$A$93,'Qredits maandlasten'!$J$3,IF('Qredits maandlasten'!$C$10=dropdowns!$A$92,IFERROR('Qredits maandlasten'!$J$3-K45,0),0)))))</f>
        <v/>
      </c>
      <c r="K45" s="130" t="str">
        <f>IF($B44="","",IF($B44+1&gt;'Qredits maandlasten'!$C$4,"",G45*I45*'Qredits maandlasten'!$C$8))</f>
        <v/>
      </c>
      <c r="L45" s="130" t="str">
        <f t="shared" si="2"/>
        <v/>
      </c>
      <c r="M45" s="130" t="str">
        <f t="shared" si="0"/>
        <v/>
      </c>
      <c r="N45" s="129"/>
      <c r="O45" s="131" t="str">
        <f>IF($B45="","",'Qredits maandlasten'!$C$8)</f>
        <v/>
      </c>
      <c r="P45" s="131" t="str">
        <f>IF($B45="","",'Qredits maandlasten'!$C$8*(POWER(1+'Qredits maandlasten'!$C$8,$B45-1+1)))</f>
        <v/>
      </c>
      <c r="Q45" s="131" t="str">
        <f t="shared" si="3"/>
        <v/>
      </c>
      <c r="R45" s="129"/>
      <c r="S45" s="130" t="str">
        <f t="shared" si="1"/>
        <v/>
      </c>
      <c r="T45" s="130" t="str">
        <f>IF(S45="","",J45/(POWER(1+'Qredits maandlasten'!$C$8,$B45-1+1)))</f>
        <v/>
      </c>
      <c r="U45" s="132" t="str">
        <f t="shared" si="4"/>
        <v/>
      </c>
      <c r="V45" s="130" t="str">
        <f>IF($B45="","",K45/(POWER(1+'Qredits maandlasten'!$C$8,$B45-1+1)))</f>
        <v/>
      </c>
      <c r="W45" s="129"/>
      <c r="X45" s="132"/>
      <c r="Y45" s="133"/>
    </row>
    <row r="46" spans="1:25" s="134" customFormat="1" x14ac:dyDescent="0.2">
      <c r="A46" s="125"/>
      <c r="B46" s="126" t="str">
        <f>IF($B45="","",IF($B45+1&gt;'Qredits maandlasten'!$C$4,"",Schema!B45+1))</f>
        <v/>
      </c>
      <c r="C46" s="127" t="str">
        <f>IF($B45="","",IF($B45+1&gt;'Qredits maandlasten'!$C$4,"",EOMONTH(C45,0)+1))</f>
        <v/>
      </c>
      <c r="D46" s="125"/>
      <c r="E46" s="127" t="str">
        <f>IF($B45="","",IF($B45+1&gt;'Qredits maandlasten'!$C$4,"",F45+1))</f>
        <v/>
      </c>
      <c r="F46" s="127" t="str">
        <f>IF($B45="","",IF($B45+1&gt;'Qredits maandlasten'!$C$4,"",EOMONTH(E46,0)))</f>
        <v/>
      </c>
      <c r="G46" s="128" t="str">
        <f>IF($B45="","",IF($B45+1&gt;'Qredits maandlasten'!$C$4,"",(_xlfn.DAYS(F46,E46)+1)/DAY(F46)))</f>
        <v/>
      </c>
      <c r="H46" s="129"/>
      <c r="I46" s="130" t="str">
        <f>IF($B45="","",IF($B45+1&gt;'Qredits maandlasten'!$C$4,"",I45-J45))</f>
        <v/>
      </c>
      <c r="J46" s="130" t="str">
        <f>IF($B45="","",IF($B45+1&gt;'Qredits maandlasten'!$C$4,"",IF(B45&lt;'Qredits maandlasten'!$C$11-1,0,IF('Qredits maandlasten'!$C$10=dropdowns!$A$93,'Qredits maandlasten'!$J$3,IF('Qredits maandlasten'!$C$10=dropdowns!$A$92,IFERROR('Qredits maandlasten'!$J$3-K46,0),0)))))</f>
        <v/>
      </c>
      <c r="K46" s="130" t="str">
        <f>IF($B45="","",IF($B45+1&gt;'Qredits maandlasten'!$C$4,"",G46*I46*'Qredits maandlasten'!$C$8))</f>
        <v/>
      </c>
      <c r="L46" s="130" t="str">
        <f t="shared" si="2"/>
        <v/>
      </c>
      <c r="M46" s="130" t="str">
        <f t="shared" si="0"/>
        <v/>
      </c>
      <c r="N46" s="129"/>
      <c r="O46" s="131" t="str">
        <f>IF($B46="","",'Qredits maandlasten'!$C$8)</f>
        <v/>
      </c>
      <c r="P46" s="131" t="str">
        <f>IF($B46="","",'Qredits maandlasten'!$C$8*(POWER(1+'Qredits maandlasten'!$C$8,$B46-1+1)))</f>
        <v/>
      </c>
      <c r="Q46" s="131" t="str">
        <f t="shared" si="3"/>
        <v/>
      </c>
      <c r="R46" s="129"/>
      <c r="S46" s="130" t="str">
        <f t="shared" si="1"/>
        <v/>
      </c>
      <c r="T46" s="130" t="str">
        <f>IF(S46="","",J46/(POWER(1+'Qredits maandlasten'!$C$8,$B46-1+1)))</f>
        <v/>
      </c>
      <c r="U46" s="132" t="str">
        <f t="shared" si="4"/>
        <v/>
      </c>
      <c r="V46" s="130" t="str">
        <f>IF($B46="","",K46/(POWER(1+'Qredits maandlasten'!$C$8,$B46-1+1)))</f>
        <v/>
      </c>
      <c r="W46" s="129"/>
      <c r="X46" s="132"/>
      <c r="Y46" s="133"/>
    </row>
    <row r="47" spans="1:25" s="134" customFormat="1" x14ac:dyDescent="0.2">
      <c r="A47" s="125"/>
      <c r="B47" s="126" t="str">
        <f>IF($B46="","",IF($B46+1&gt;'Qredits maandlasten'!$C$4,"",Schema!B46+1))</f>
        <v/>
      </c>
      <c r="C47" s="127" t="str">
        <f>IF($B46="","",IF($B46+1&gt;'Qredits maandlasten'!$C$4,"",EOMONTH(C46,0)+1))</f>
        <v/>
      </c>
      <c r="D47" s="125"/>
      <c r="E47" s="127" t="str">
        <f>IF($B46="","",IF($B46+1&gt;'Qredits maandlasten'!$C$4,"",F46+1))</f>
        <v/>
      </c>
      <c r="F47" s="127" t="str">
        <f>IF($B46="","",IF($B46+1&gt;'Qredits maandlasten'!$C$4,"",EOMONTH(E47,0)))</f>
        <v/>
      </c>
      <c r="G47" s="128" t="str">
        <f>IF($B46="","",IF($B46+1&gt;'Qredits maandlasten'!$C$4,"",(_xlfn.DAYS(F47,E47)+1)/DAY(F47)))</f>
        <v/>
      </c>
      <c r="H47" s="129"/>
      <c r="I47" s="130" t="str">
        <f>IF($B46="","",IF($B46+1&gt;'Qredits maandlasten'!$C$4,"",I46-J46))</f>
        <v/>
      </c>
      <c r="J47" s="130" t="str">
        <f>IF($B46="","",IF($B46+1&gt;'Qredits maandlasten'!$C$4,"",IF(B46&lt;'Qredits maandlasten'!$C$11-1,0,IF('Qredits maandlasten'!$C$10=dropdowns!$A$93,'Qredits maandlasten'!$J$3,IF('Qredits maandlasten'!$C$10=dropdowns!$A$92,IFERROR('Qredits maandlasten'!$J$3-K47,0),0)))))</f>
        <v/>
      </c>
      <c r="K47" s="130" t="str">
        <f>IF($B46="","",IF($B46+1&gt;'Qredits maandlasten'!$C$4,"",G47*I47*'Qredits maandlasten'!$C$8))</f>
        <v/>
      </c>
      <c r="L47" s="130" t="str">
        <f t="shared" si="2"/>
        <v/>
      </c>
      <c r="M47" s="130" t="str">
        <f t="shared" si="0"/>
        <v/>
      </c>
      <c r="N47" s="129"/>
      <c r="O47" s="131" t="str">
        <f>IF($B47="","",'Qredits maandlasten'!$C$8)</f>
        <v/>
      </c>
      <c r="P47" s="131" t="str">
        <f>IF($B47="","",'Qredits maandlasten'!$C$8*(POWER(1+'Qredits maandlasten'!$C$8,$B47-1+1)))</f>
        <v/>
      </c>
      <c r="Q47" s="131" t="str">
        <f t="shared" si="3"/>
        <v/>
      </c>
      <c r="R47" s="129"/>
      <c r="S47" s="130" t="str">
        <f t="shared" si="1"/>
        <v/>
      </c>
      <c r="T47" s="130" t="str">
        <f>IF(S47="","",J47/(POWER(1+'Qredits maandlasten'!$C$8,$B47-1+1)))</f>
        <v/>
      </c>
      <c r="U47" s="132" t="str">
        <f t="shared" si="4"/>
        <v/>
      </c>
      <c r="V47" s="130" t="str">
        <f>IF($B47="","",K47/(POWER(1+'Qredits maandlasten'!$C$8,$B47-1+1)))</f>
        <v/>
      </c>
      <c r="W47" s="129"/>
      <c r="X47" s="132"/>
      <c r="Y47" s="133"/>
    </row>
    <row r="48" spans="1:25" s="134" customFormat="1" x14ac:dyDescent="0.2">
      <c r="A48" s="125"/>
      <c r="B48" s="126" t="str">
        <f>IF($B47="","",IF($B47+1&gt;'Qredits maandlasten'!$C$4,"",Schema!B47+1))</f>
        <v/>
      </c>
      <c r="C48" s="127" t="str">
        <f>IF($B47="","",IF($B47+1&gt;'Qredits maandlasten'!$C$4,"",EOMONTH(C47,0)+1))</f>
        <v/>
      </c>
      <c r="D48" s="125"/>
      <c r="E48" s="127" t="str">
        <f>IF($B47="","",IF($B47+1&gt;'Qredits maandlasten'!$C$4,"",F47+1))</f>
        <v/>
      </c>
      <c r="F48" s="127" t="str">
        <f>IF($B47="","",IF($B47+1&gt;'Qredits maandlasten'!$C$4,"",EOMONTH(E48,0)))</f>
        <v/>
      </c>
      <c r="G48" s="128" t="str">
        <f>IF($B47="","",IF($B47+1&gt;'Qredits maandlasten'!$C$4,"",(_xlfn.DAYS(F48,E48)+1)/DAY(F48)))</f>
        <v/>
      </c>
      <c r="H48" s="129"/>
      <c r="I48" s="130" t="str">
        <f>IF($B47="","",IF($B47+1&gt;'Qredits maandlasten'!$C$4,"",I47-J47))</f>
        <v/>
      </c>
      <c r="J48" s="130" t="str">
        <f>IF($B47="","",IF($B47+1&gt;'Qredits maandlasten'!$C$4,"",IF(B47&lt;'Qredits maandlasten'!$C$11-1,0,IF('Qredits maandlasten'!$C$10=dropdowns!$A$93,'Qredits maandlasten'!$J$3,IF('Qredits maandlasten'!$C$10=dropdowns!$A$92,IFERROR('Qredits maandlasten'!$J$3-K48,0),0)))))</f>
        <v/>
      </c>
      <c r="K48" s="130" t="str">
        <f>IF($B47="","",IF($B47+1&gt;'Qredits maandlasten'!$C$4,"",G48*I48*'Qredits maandlasten'!$C$8))</f>
        <v/>
      </c>
      <c r="L48" s="130" t="str">
        <f t="shared" si="2"/>
        <v/>
      </c>
      <c r="M48" s="130" t="str">
        <f t="shared" si="0"/>
        <v/>
      </c>
      <c r="N48" s="129"/>
      <c r="O48" s="131" t="str">
        <f>IF($B48="","",'Qredits maandlasten'!$C$8)</f>
        <v/>
      </c>
      <c r="P48" s="131" t="str">
        <f>IF($B48="","",'Qredits maandlasten'!$C$8*(POWER(1+'Qredits maandlasten'!$C$8,$B48-1+1)))</f>
        <v/>
      </c>
      <c r="Q48" s="131" t="str">
        <f t="shared" si="3"/>
        <v/>
      </c>
      <c r="R48" s="129"/>
      <c r="S48" s="130" t="str">
        <f t="shared" si="1"/>
        <v/>
      </c>
      <c r="T48" s="130" t="str">
        <f>IF(S48="","",J48/(POWER(1+'Qredits maandlasten'!$C$8,$B48-1+1)))</f>
        <v/>
      </c>
      <c r="U48" s="132" t="str">
        <f t="shared" si="4"/>
        <v/>
      </c>
      <c r="V48" s="130" t="str">
        <f>IF($B48="","",K48/(POWER(1+'Qredits maandlasten'!$C$8,$B48-1+1)))</f>
        <v/>
      </c>
      <c r="W48" s="129"/>
      <c r="X48" s="132"/>
      <c r="Y48" s="133"/>
    </row>
    <row r="49" spans="1:25" s="134" customFormat="1" x14ac:dyDescent="0.2">
      <c r="A49" s="125"/>
      <c r="B49" s="126" t="str">
        <f>IF($B48="","",IF($B48+1&gt;'Qredits maandlasten'!$C$4,"",Schema!B48+1))</f>
        <v/>
      </c>
      <c r="C49" s="127" t="str">
        <f>IF($B48="","",IF($B48+1&gt;'Qredits maandlasten'!$C$4,"",EOMONTH(C48,0)+1))</f>
        <v/>
      </c>
      <c r="D49" s="125"/>
      <c r="E49" s="127" t="str">
        <f>IF($B48="","",IF($B48+1&gt;'Qredits maandlasten'!$C$4,"",F48+1))</f>
        <v/>
      </c>
      <c r="F49" s="127" t="str">
        <f>IF($B48="","",IF($B48+1&gt;'Qredits maandlasten'!$C$4,"",EOMONTH(E49,0)))</f>
        <v/>
      </c>
      <c r="G49" s="128" t="str">
        <f>IF($B48="","",IF($B48+1&gt;'Qredits maandlasten'!$C$4,"",(_xlfn.DAYS(F49,E49)+1)/DAY(F49)))</f>
        <v/>
      </c>
      <c r="H49" s="129"/>
      <c r="I49" s="130" t="str">
        <f>IF($B48="","",IF($B48+1&gt;'Qredits maandlasten'!$C$4,"",I48-J48))</f>
        <v/>
      </c>
      <c r="J49" s="130" t="str">
        <f>IF($B48="","",IF($B48+1&gt;'Qredits maandlasten'!$C$4,"",IF(B48&lt;'Qredits maandlasten'!$C$11-1,0,IF('Qredits maandlasten'!$C$10=dropdowns!$A$93,'Qredits maandlasten'!$J$3,IF('Qredits maandlasten'!$C$10=dropdowns!$A$92,IFERROR('Qredits maandlasten'!$J$3-K49,0),0)))))</f>
        <v/>
      </c>
      <c r="K49" s="130" t="str">
        <f>IF($B48="","",IF($B48+1&gt;'Qredits maandlasten'!$C$4,"",G49*I49*'Qredits maandlasten'!$C$8))</f>
        <v/>
      </c>
      <c r="L49" s="130" t="str">
        <f t="shared" si="2"/>
        <v/>
      </c>
      <c r="M49" s="130" t="str">
        <f t="shared" si="0"/>
        <v/>
      </c>
      <c r="N49" s="129"/>
      <c r="O49" s="131" t="str">
        <f>IF($B49="","",'Qredits maandlasten'!$C$8)</f>
        <v/>
      </c>
      <c r="P49" s="131" t="str">
        <f>IF($B49="","",'Qredits maandlasten'!$C$8*(POWER(1+'Qredits maandlasten'!$C$8,$B49-1+1)))</f>
        <v/>
      </c>
      <c r="Q49" s="131" t="str">
        <f t="shared" si="3"/>
        <v/>
      </c>
      <c r="R49" s="129"/>
      <c r="S49" s="130" t="str">
        <f t="shared" si="1"/>
        <v/>
      </c>
      <c r="T49" s="130" t="str">
        <f>IF(S49="","",J49/(POWER(1+'Qredits maandlasten'!$C$8,$B49-1+1)))</f>
        <v/>
      </c>
      <c r="U49" s="132" t="str">
        <f t="shared" si="4"/>
        <v/>
      </c>
      <c r="V49" s="130" t="str">
        <f>IF($B49="","",K49/(POWER(1+'Qredits maandlasten'!$C$8,$B49-1+1)))</f>
        <v/>
      </c>
      <c r="W49" s="129"/>
      <c r="X49" s="132"/>
      <c r="Y49" s="133"/>
    </row>
    <row r="50" spans="1:25" s="134" customFormat="1" x14ac:dyDescent="0.2">
      <c r="A50" s="125"/>
      <c r="B50" s="126" t="str">
        <f>IF($B49="","",IF($B49+1&gt;'Qredits maandlasten'!$C$4,"",Schema!B49+1))</f>
        <v/>
      </c>
      <c r="C50" s="127" t="str">
        <f>IF($B49="","",IF($B49+1&gt;'Qredits maandlasten'!$C$4,"",EOMONTH(C49,0)+1))</f>
        <v/>
      </c>
      <c r="D50" s="125"/>
      <c r="E50" s="127" t="str">
        <f>IF($B49="","",IF($B49+1&gt;'Qredits maandlasten'!$C$4,"",F49+1))</f>
        <v/>
      </c>
      <c r="F50" s="127" t="str">
        <f>IF($B49="","",IF($B49+1&gt;'Qredits maandlasten'!$C$4,"",EOMONTH(E50,0)))</f>
        <v/>
      </c>
      <c r="G50" s="128" t="str">
        <f>IF($B49="","",IF($B49+1&gt;'Qredits maandlasten'!$C$4,"",(_xlfn.DAYS(F50,E50)+1)/DAY(F50)))</f>
        <v/>
      </c>
      <c r="H50" s="129"/>
      <c r="I50" s="130" t="str">
        <f>IF($B49="","",IF($B49+1&gt;'Qredits maandlasten'!$C$4,"",I49-J49))</f>
        <v/>
      </c>
      <c r="J50" s="130" t="str">
        <f>IF($B49="","",IF($B49+1&gt;'Qredits maandlasten'!$C$4,"",IF(B49&lt;'Qredits maandlasten'!$C$11-1,0,IF('Qredits maandlasten'!$C$10=dropdowns!$A$93,'Qredits maandlasten'!$J$3,IF('Qredits maandlasten'!$C$10=dropdowns!$A$92,IFERROR('Qredits maandlasten'!$J$3-K50,0),0)))))</f>
        <v/>
      </c>
      <c r="K50" s="130" t="str">
        <f>IF($B49="","",IF($B49+1&gt;'Qredits maandlasten'!$C$4,"",G50*I50*'Qredits maandlasten'!$C$8))</f>
        <v/>
      </c>
      <c r="L50" s="130" t="str">
        <f t="shared" si="2"/>
        <v/>
      </c>
      <c r="M50" s="130" t="str">
        <f t="shared" si="0"/>
        <v/>
      </c>
      <c r="N50" s="129"/>
      <c r="O50" s="131" t="str">
        <f>IF($B50="","",'Qredits maandlasten'!$C$8)</f>
        <v/>
      </c>
      <c r="P50" s="131" t="str">
        <f>IF($B50="","",'Qredits maandlasten'!$C$8*(POWER(1+'Qredits maandlasten'!$C$8,$B50-1+1)))</f>
        <v/>
      </c>
      <c r="Q50" s="131" t="str">
        <f t="shared" si="3"/>
        <v/>
      </c>
      <c r="R50" s="129"/>
      <c r="S50" s="130" t="str">
        <f t="shared" si="1"/>
        <v/>
      </c>
      <c r="T50" s="130" t="str">
        <f>IF(S50="","",J50/(POWER(1+'Qredits maandlasten'!$C$8,$B50-1+1)))</f>
        <v/>
      </c>
      <c r="U50" s="132" t="str">
        <f t="shared" si="4"/>
        <v/>
      </c>
      <c r="V50" s="130" t="str">
        <f>IF($B50="","",K50/(POWER(1+'Qredits maandlasten'!$C$8,$B50-1+1)))</f>
        <v/>
      </c>
      <c r="W50" s="129"/>
      <c r="X50" s="132"/>
      <c r="Y50" s="133"/>
    </row>
    <row r="51" spans="1:25" s="134" customFormat="1" x14ac:dyDescent="0.2">
      <c r="A51" s="125"/>
      <c r="B51" s="126" t="str">
        <f>IF($B50="","",IF($B50+1&gt;'Qredits maandlasten'!$C$4,"",Schema!B50+1))</f>
        <v/>
      </c>
      <c r="C51" s="127" t="str">
        <f>IF($B50="","",IF($B50+1&gt;'Qredits maandlasten'!$C$4,"",EOMONTH(C50,0)+1))</f>
        <v/>
      </c>
      <c r="D51" s="125"/>
      <c r="E51" s="127" t="str">
        <f>IF($B50="","",IF($B50+1&gt;'Qredits maandlasten'!$C$4,"",F50+1))</f>
        <v/>
      </c>
      <c r="F51" s="127" t="str">
        <f>IF($B50="","",IF($B50+1&gt;'Qredits maandlasten'!$C$4,"",EOMONTH(E51,0)))</f>
        <v/>
      </c>
      <c r="G51" s="128" t="str">
        <f>IF($B50="","",IF($B50+1&gt;'Qredits maandlasten'!$C$4,"",(_xlfn.DAYS(F51,E51)+1)/DAY(F51)))</f>
        <v/>
      </c>
      <c r="H51" s="129"/>
      <c r="I51" s="130" t="str">
        <f>IF($B50="","",IF($B50+1&gt;'Qredits maandlasten'!$C$4,"",I50-J50))</f>
        <v/>
      </c>
      <c r="J51" s="130" t="str">
        <f>IF($B50="","",IF($B50+1&gt;'Qredits maandlasten'!$C$4,"",IF(B50&lt;'Qredits maandlasten'!$C$11-1,0,IF('Qredits maandlasten'!$C$10=dropdowns!$A$93,'Qredits maandlasten'!$J$3,IF('Qredits maandlasten'!$C$10=dropdowns!$A$92,IFERROR('Qredits maandlasten'!$J$3-K51,0),0)))))</f>
        <v/>
      </c>
      <c r="K51" s="130" t="str">
        <f>IF($B50="","",IF($B50+1&gt;'Qredits maandlasten'!$C$4,"",G51*I51*'Qredits maandlasten'!$C$8))</f>
        <v/>
      </c>
      <c r="L51" s="130" t="str">
        <f t="shared" si="2"/>
        <v/>
      </c>
      <c r="M51" s="130" t="str">
        <f t="shared" si="0"/>
        <v/>
      </c>
      <c r="N51" s="129"/>
      <c r="O51" s="131" t="str">
        <f>IF($B51="","",'Qredits maandlasten'!$C$8)</f>
        <v/>
      </c>
      <c r="P51" s="131" t="str">
        <f>IF($B51="","",'Qredits maandlasten'!$C$8*(POWER(1+'Qredits maandlasten'!$C$8,$B51-1+1)))</f>
        <v/>
      </c>
      <c r="Q51" s="131" t="str">
        <f t="shared" si="3"/>
        <v/>
      </c>
      <c r="R51" s="129"/>
      <c r="S51" s="130" t="str">
        <f t="shared" si="1"/>
        <v/>
      </c>
      <c r="T51" s="130" t="str">
        <f>IF(S51="","",J51/(POWER(1+'Qredits maandlasten'!$C$8,$B51-1+1)))</f>
        <v/>
      </c>
      <c r="U51" s="132" t="str">
        <f t="shared" si="4"/>
        <v/>
      </c>
      <c r="V51" s="130" t="str">
        <f>IF($B51="","",K51/(POWER(1+'Qredits maandlasten'!$C$8,$B51-1+1)))</f>
        <v/>
      </c>
      <c r="W51" s="129"/>
      <c r="X51" s="132"/>
      <c r="Y51" s="133"/>
    </row>
    <row r="52" spans="1:25" s="134" customFormat="1" x14ac:dyDescent="0.2">
      <c r="A52" s="125"/>
      <c r="B52" s="126" t="str">
        <f>IF($B51="","",IF($B51+1&gt;'Qredits maandlasten'!$C$4,"",Schema!B51+1))</f>
        <v/>
      </c>
      <c r="C52" s="127" t="str">
        <f>IF($B51="","",IF($B51+1&gt;'Qredits maandlasten'!$C$4,"",EOMONTH(C51,0)+1))</f>
        <v/>
      </c>
      <c r="D52" s="125"/>
      <c r="E52" s="127" t="str">
        <f>IF($B51="","",IF($B51+1&gt;'Qredits maandlasten'!$C$4,"",F51+1))</f>
        <v/>
      </c>
      <c r="F52" s="127" t="str">
        <f>IF($B51="","",IF($B51+1&gt;'Qredits maandlasten'!$C$4,"",EOMONTH(E52,0)))</f>
        <v/>
      </c>
      <c r="G52" s="128" t="str">
        <f>IF($B51="","",IF($B51+1&gt;'Qredits maandlasten'!$C$4,"",(_xlfn.DAYS(F52,E52)+1)/DAY(F52)))</f>
        <v/>
      </c>
      <c r="H52" s="129"/>
      <c r="I52" s="130" t="str">
        <f>IF($B51="","",IF($B51+1&gt;'Qredits maandlasten'!$C$4,"",I51-J51))</f>
        <v/>
      </c>
      <c r="J52" s="130" t="str">
        <f>IF($B51="","",IF($B51+1&gt;'Qredits maandlasten'!$C$4,"",IF(B51&lt;'Qredits maandlasten'!$C$11-1,0,IF('Qredits maandlasten'!$C$10=dropdowns!$A$93,'Qredits maandlasten'!$J$3,IF('Qredits maandlasten'!$C$10=dropdowns!$A$92,IFERROR('Qredits maandlasten'!$J$3-K52,0),0)))))</f>
        <v/>
      </c>
      <c r="K52" s="130" t="str">
        <f>IF($B51="","",IF($B51+1&gt;'Qredits maandlasten'!$C$4,"",G52*I52*'Qredits maandlasten'!$C$8))</f>
        <v/>
      </c>
      <c r="L52" s="130" t="str">
        <f t="shared" si="2"/>
        <v/>
      </c>
      <c r="M52" s="130" t="str">
        <f t="shared" si="0"/>
        <v/>
      </c>
      <c r="N52" s="129"/>
      <c r="O52" s="131" t="str">
        <f>IF($B52="","",'Qredits maandlasten'!$C$8)</f>
        <v/>
      </c>
      <c r="P52" s="131" t="str">
        <f>IF($B52="","",'Qredits maandlasten'!$C$8*(POWER(1+'Qredits maandlasten'!$C$8,$B52-1+1)))</f>
        <v/>
      </c>
      <c r="Q52" s="131" t="str">
        <f t="shared" si="3"/>
        <v/>
      </c>
      <c r="R52" s="129"/>
      <c r="S52" s="130" t="str">
        <f t="shared" si="1"/>
        <v/>
      </c>
      <c r="T52" s="130" t="str">
        <f>IF(S52="","",J52/(POWER(1+'Qredits maandlasten'!$C$8,$B52-1+1)))</f>
        <v/>
      </c>
      <c r="U52" s="132" t="str">
        <f t="shared" si="4"/>
        <v/>
      </c>
      <c r="V52" s="130" t="str">
        <f>IF($B52="","",K52/(POWER(1+'Qredits maandlasten'!$C$8,$B52-1+1)))</f>
        <v/>
      </c>
      <c r="W52" s="129"/>
      <c r="X52" s="132"/>
      <c r="Y52" s="133"/>
    </row>
    <row r="53" spans="1:25" s="134" customFormat="1" x14ac:dyDescent="0.2">
      <c r="A53" s="125"/>
      <c r="B53" s="126" t="str">
        <f>IF($B52="","",IF($B52+1&gt;'Qredits maandlasten'!$C$4,"",Schema!B52+1))</f>
        <v/>
      </c>
      <c r="C53" s="127" t="str">
        <f>IF($B52="","",IF($B52+1&gt;'Qredits maandlasten'!$C$4,"",EOMONTH(C52,0)+1))</f>
        <v/>
      </c>
      <c r="D53" s="125"/>
      <c r="E53" s="127" t="str">
        <f>IF($B52="","",IF($B52+1&gt;'Qredits maandlasten'!$C$4,"",F52+1))</f>
        <v/>
      </c>
      <c r="F53" s="127" t="str">
        <f>IF($B52="","",IF($B52+1&gt;'Qredits maandlasten'!$C$4,"",EOMONTH(E53,0)))</f>
        <v/>
      </c>
      <c r="G53" s="128" t="str">
        <f>IF($B52="","",IF($B52+1&gt;'Qredits maandlasten'!$C$4,"",(_xlfn.DAYS(F53,E53)+1)/DAY(F53)))</f>
        <v/>
      </c>
      <c r="H53" s="129"/>
      <c r="I53" s="130" t="str">
        <f>IF($B52="","",IF($B52+1&gt;'Qredits maandlasten'!$C$4,"",I52-J52))</f>
        <v/>
      </c>
      <c r="J53" s="130" t="str">
        <f>IF($B52="","",IF($B52+1&gt;'Qredits maandlasten'!$C$4,"",IF(B52&lt;'Qredits maandlasten'!$C$11-1,0,IF('Qredits maandlasten'!$C$10=dropdowns!$A$93,'Qredits maandlasten'!$J$3,IF('Qredits maandlasten'!$C$10=dropdowns!$A$92,IFERROR('Qredits maandlasten'!$J$3-K53,0),0)))))</f>
        <v/>
      </c>
      <c r="K53" s="130" t="str">
        <f>IF($B52="","",IF($B52+1&gt;'Qredits maandlasten'!$C$4,"",G53*I53*'Qredits maandlasten'!$C$8))</f>
        <v/>
      </c>
      <c r="L53" s="130" t="str">
        <f t="shared" si="2"/>
        <v/>
      </c>
      <c r="M53" s="130" t="str">
        <f t="shared" si="0"/>
        <v/>
      </c>
      <c r="N53" s="129"/>
      <c r="O53" s="131" t="str">
        <f>IF($B53="","",'Qredits maandlasten'!$C$8)</f>
        <v/>
      </c>
      <c r="P53" s="131" t="str">
        <f>IF($B53="","",'Qredits maandlasten'!$C$8*(POWER(1+'Qredits maandlasten'!$C$8,$B53-1+1)))</f>
        <v/>
      </c>
      <c r="Q53" s="131" t="str">
        <f t="shared" si="3"/>
        <v/>
      </c>
      <c r="R53" s="129"/>
      <c r="S53" s="130" t="str">
        <f t="shared" si="1"/>
        <v/>
      </c>
      <c r="T53" s="130" t="str">
        <f>IF(S53="","",J53/(POWER(1+'Qredits maandlasten'!$C$8,$B53-1+1)))</f>
        <v/>
      </c>
      <c r="U53" s="132" t="str">
        <f t="shared" si="4"/>
        <v/>
      </c>
      <c r="V53" s="130" t="str">
        <f>IF($B53="","",K53/(POWER(1+'Qredits maandlasten'!$C$8,$B53-1+1)))</f>
        <v/>
      </c>
      <c r="W53" s="129"/>
      <c r="X53" s="132"/>
      <c r="Y53" s="133"/>
    </row>
    <row r="54" spans="1:25" s="134" customFormat="1" x14ac:dyDescent="0.2">
      <c r="A54" s="125"/>
      <c r="B54" s="126" t="str">
        <f>IF($B53="","",IF($B53+1&gt;'Qredits maandlasten'!$C$4,"",Schema!B53+1))</f>
        <v/>
      </c>
      <c r="C54" s="127" t="str">
        <f>IF($B53="","",IF($B53+1&gt;'Qredits maandlasten'!$C$4,"",EOMONTH(C53,0)+1))</f>
        <v/>
      </c>
      <c r="D54" s="125"/>
      <c r="E54" s="127" t="str">
        <f>IF($B53="","",IF($B53+1&gt;'Qredits maandlasten'!$C$4,"",F53+1))</f>
        <v/>
      </c>
      <c r="F54" s="127" t="str">
        <f>IF($B53="","",IF($B53+1&gt;'Qredits maandlasten'!$C$4,"",EOMONTH(E54,0)))</f>
        <v/>
      </c>
      <c r="G54" s="128" t="str">
        <f>IF($B53="","",IF($B53+1&gt;'Qredits maandlasten'!$C$4,"",(_xlfn.DAYS(F54,E54)+1)/DAY(F54)))</f>
        <v/>
      </c>
      <c r="H54" s="129"/>
      <c r="I54" s="130" t="str">
        <f>IF($B53="","",IF($B53+1&gt;'Qredits maandlasten'!$C$4,"",I53-J53))</f>
        <v/>
      </c>
      <c r="J54" s="130" t="str">
        <f>IF($B53="","",IF($B53+1&gt;'Qredits maandlasten'!$C$4,"",IF(B53&lt;'Qredits maandlasten'!$C$11-1,0,IF('Qredits maandlasten'!$C$10=dropdowns!$A$93,'Qredits maandlasten'!$J$3,IF('Qredits maandlasten'!$C$10=dropdowns!$A$92,IFERROR('Qredits maandlasten'!$J$3-K54,0),0)))))</f>
        <v/>
      </c>
      <c r="K54" s="130" t="str">
        <f>IF($B53="","",IF($B53+1&gt;'Qredits maandlasten'!$C$4,"",G54*I54*'Qredits maandlasten'!$C$8))</f>
        <v/>
      </c>
      <c r="L54" s="130" t="str">
        <f t="shared" si="2"/>
        <v/>
      </c>
      <c r="M54" s="130" t="str">
        <f t="shared" si="0"/>
        <v/>
      </c>
      <c r="N54" s="129"/>
      <c r="O54" s="131" t="str">
        <f>IF($B54="","",'Qredits maandlasten'!$C$8)</f>
        <v/>
      </c>
      <c r="P54" s="131" t="str">
        <f>IF($B54="","",'Qredits maandlasten'!$C$8*(POWER(1+'Qredits maandlasten'!$C$8,$B54-1+1)))</f>
        <v/>
      </c>
      <c r="Q54" s="131" t="str">
        <f t="shared" si="3"/>
        <v/>
      </c>
      <c r="R54" s="129"/>
      <c r="S54" s="130" t="str">
        <f t="shared" si="1"/>
        <v/>
      </c>
      <c r="T54" s="130" t="str">
        <f>IF(S54="","",J54/(POWER(1+'Qredits maandlasten'!$C$8,$B54-1+1)))</f>
        <v/>
      </c>
      <c r="U54" s="132" t="str">
        <f t="shared" si="4"/>
        <v/>
      </c>
      <c r="V54" s="130" t="str">
        <f>IF($B54="","",K54/(POWER(1+'Qredits maandlasten'!$C$8,$B54-1+1)))</f>
        <v/>
      </c>
      <c r="W54" s="129"/>
      <c r="X54" s="132"/>
      <c r="Y54" s="133"/>
    </row>
    <row r="55" spans="1:25" s="134" customFormat="1" x14ac:dyDescent="0.2">
      <c r="A55" s="125"/>
      <c r="B55" s="126" t="str">
        <f>IF($B54="","",IF($B54+1&gt;'Qredits maandlasten'!$C$4,"",Schema!B54+1))</f>
        <v/>
      </c>
      <c r="C55" s="127" t="str">
        <f>IF($B54="","",IF($B54+1&gt;'Qredits maandlasten'!$C$4,"",EOMONTH(C54,0)+1))</f>
        <v/>
      </c>
      <c r="D55" s="125"/>
      <c r="E55" s="127" t="str">
        <f>IF($B54="","",IF($B54+1&gt;'Qredits maandlasten'!$C$4,"",F54+1))</f>
        <v/>
      </c>
      <c r="F55" s="127" t="str">
        <f>IF($B54="","",IF($B54+1&gt;'Qredits maandlasten'!$C$4,"",EOMONTH(E55,0)))</f>
        <v/>
      </c>
      <c r="G55" s="128" t="str">
        <f>IF($B54="","",IF($B54+1&gt;'Qredits maandlasten'!$C$4,"",(_xlfn.DAYS(F55,E55)+1)/DAY(F55)))</f>
        <v/>
      </c>
      <c r="H55" s="129"/>
      <c r="I55" s="130" t="str">
        <f>IF($B54="","",IF($B54+1&gt;'Qredits maandlasten'!$C$4,"",I54-J54))</f>
        <v/>
      </c>
      <c r="J55" s="130" t="str">
        <f>IF($B54="","",IF($B54+1&gt;'Qredits maandlasten'!$C$4,"",IF(B54&lt;'Qredits maandlasten'!$C$11-1,0,IF('Qredits maandlasten'!$C$10=dropdowns!$A$93,'Qredits maandlasten'!$J$3,IF('Qredits maandlasten'!$C$10=dropdowns!$A$92,IFERROR('Qredits maandlasten'!$J$3-K55,0),0)))))</f>
        <v/>
      </c>
      <c r="K55" s="130" t="str">
        <f>IF($B54="","",IF($B54+1&gt;'Qredits maandlasten'!$C$4,"",G55*I55*'Qredits maandlasten'!$C$8))</f>
        <v/>
      </c>
      <c r="L55" s="130" t="str">
        <f t="shared" si="2"/>
        <v/>
      </c>
      <c r="M55" s="130" t="str">
        <f t="shared" si="0"/>
        <v/>
      </c>
      <c r="N55" s="129"/>
      <c r="O55" s="131" t="str">
        <f>IF($B55="","",'Qredits maandlasten'!$C$8)</f>
        <v/>
      </c>
      <c r="P55" s="131" t="str">
        <f>IF($B55="","",'Qredits maandlasten'!$C$8*(POWER(1+'Qredits maandlasten'!$C$8,$B55-1+1)))</f>
        <v/>
      </c>
      <c r="Q55" s="131" t="str">
        <f t="shared" si="3"/>
        <v/>
      </c>
      <c r="R55" s="129"/>
      <c r="S55" s="130" t="str">
        <f t="shared" si="1"/>
        <v/>
      </c>
      <c r="T55" s="130" t="str">
        <f>IF(S55="","",J55/(POWER(1+'Qredits maandlasten'!$C$8,$B55-1+1)))</f>
        <v/>
      </c>
      <c r="U55" s="132" t="str">
        <f t="shared" si="4"/>
        <v/>
      </c>
      <c r="V55" s="130" t="str">
        <f>IF($B55="","",K55/(POWER(1+'Qredits maandlasten'!$C$8,$B55-1+1)))</f>
        <v/>
      </c>
      <c r="W55" s="129"/>
      <c r="X55" s="132"/>
      <c r="Y55" s="133"/>
    </row>
    <row r="56" spans="1:25" s="134" customFormat="1" x14ac:dyDescent="0.2">
      <c r="A56" s="125"/>
      <c r="B56" s="126" t="str">
        <f>IF($B55="","",IF($B55+1&gt;'Qredits maandlasten'!$C$4,"",Schema!B55+1))</f>
        <v/>
      </c>
      <c r="C56" s="127" t="str">
        <f>IF($B55="","",IF($B55+1&gt;'Qredits maandlasten'!$C$4,"",EOMONTH(C55,0)+1))</f>
        <v/>
      </c>
      <c r="D56" s="125"/>
      <c r="E56" s="127" t="str">
        <f>IF($B55="","",IF($B55+1&gt;'Qredits maandlasten'!$C$4,"",F55+1))</f>
        <v/>
      </c>
      <c r="F56" s="127" t="str">
        <f>IF($B55="","",IF($B55+1&gt;'Qredits maandlasten'!$C$4,"",EOMONTH(E56,0)))</f>
        <v/>
      </c>
      <c r="G56" s="128" t="str">
        <f>IF($B55="","",IF($B55+1&gt;'Qredits maandlasten'!$C$4,"",(_xlfn.DAYS(F56,E56)+1)/DAY(F56)))</f>
        <v/>
      </c>
      <c r="H56" s="129"/>
      <c r="I56" s="130" t="str">
        <f>IF($B55="","",IF($B55+1&gt;'Qredits maandlasten'!$C$4,"",I55-J55))</f>
        <v/>
      </c>
      <c r="J56" s="130" t="str">
        <f>IF($B55="","",IF($B55+1&gt;'Qredits maandlasten'!$C$4,"",IF(B55&lt;'Qredits maandlasten'!$C$11-1,0,IF('Qredits maandlasten'!$C$10=dropdowns!$A$93,'Qredits maandlasten'!$J$3,IF('Qredits maandlasten'!$C$10=dropdowns!$A$92,IFERROR('Qredits maandlasten'!$J$3-K56,0),0)))))</f>
        <v/>
      </c>
      <c r="K56" s="130" t="str">
        <f>IF($B55="","",IF($B55+1&gt;'Qredits maandlasten'!$C$4,"",G56*I56*'Qredits maandlasten'!$C$8))</f>
        <v/>
      </c>
      <c r="L56" s="130" t="str">
        <f t="shared" si="2"/>
        <v/>
      </c>
      <c r="M56" s="130" t="str">
        <f t="shared" si="0"/>
        <v/>
      </c>
      <c r="N56" s="129"/>
      <c r="O56" s="131" t="str">
        <f>IF($B56="","",'Qredits maandlasten'!$C$8)</f>
        <v/>
      </c>
      <c r="P56" s="131" t="str">
        <f>IF($B56="","",'Qredits maandlasten'!$C$8*(POWER(1+'Qredits maandlasten'!$C$8,$B56-1+1)))</f>
        <v/>
      </c>
      <c r="Q56" s="131" t="str">
        <f t="shared" si="3"/>
        <v/>
      </c>
      <c r="R56" s="129"/>
      <c r="S56" s="130" t="str">
        <f t="shared" si="1"/>
        <v/>
      </c>
      <c r="T56" s="130" t="str">
        <f>IF(S56="","",J56/(POWER(1+'Qredits maandlasten'!$C$8,$B56-1+1)))</f>
        <v/>
      </c>
      <c r="U56" s="132" t="str">
        <f t="shared" si="4"/>
        <v/>
      </c>
      <c r="V56" s="130" t="str">
        <f>IF($B56="","",K56/(POWER(1+'Qredits maandlasten'!$C$8,$B56-1+1)))</f>
        <v/>
      </c>
      <c r="W56" s="129"/>
      <c r="X56" s="132"/>
      <c r="Y56" s="133"/>
    </row>
    <row r="57" spans="1:25" s="134" customFormat="1" x14ac:dyDescent="0.2">
      <c r="A57" s="125"/>
      <c r="B57" s="126" t="str">
        <f>IF($B56="","",IF($B56+1&gt;'Qredits maandlasten'!$C$4,"",Schema!B56+1))</f>
        <v/>
      </c>
      <c r="C57" s="127" t="str">
        <f>IF($B56="","",IF($B56+1&gt;'Qredits maandlasten'!$C$4,"",EOMONTH(C56,0)+1))</f>
        <v/>
      </c>
      <c r="D57" s="125"/>
      <c r="E57" s="127" t="str">
        <f>IF($B56="","",IF($B56+1&gt;'Qredits maandlasten'!$C$4,"",F56+1))</f>
        <v/>
      </c>
      <c r="F57" s="127" t="str">
        <f>IF($B56="","",IF($B56+1&gt;'Qredits maandlasten'!$C$4,"",EOMONTH(E57,0)))</f>
        <v/>
      </c>
      <c r="G57" s="128" t="str">
        <f>IF($B56="","",IF($B56+1&gt;'Qredits maandlasten'!$C$4,"",(_xlfn.DAYS(F57,E57)+1)/DAY(F57)))</f>
        <v/>
      </c>
      <c r="H57" s="129"/>
      <c r="I57" s="130" t="str">
        <f>IF($B56="","",IF($B56+1&gt;'Qredits maandlasten'!$C$4,"",I56-J56))</f>
        <v/>
      </c>
      <c r="J57" s="130" t="str">
        <f>IF($B56="","",IF($B56+1&gt;'Qredits maandlasten'!$C$4,"",IF(B56&lt;'Qredits maandlasten'!$C$11-1,0,IF('Qredits maandlasten'!$C$10=dropdowns!$A$93,'Qredits maandlasten'!$J$3,IF('Qredits maandlasten'!$C$10=dropdowns!$A$92,IFERROR('Qredits maandlasten'!$J$3-K57,0),0)))))</f>
        <v/>
      </c>
      <c r="K57" s="130" t="str">
        <f>IF($B56="","",IF($B56+1&gt;'Qredits maandlasten'!$C$4,"",G57*I57*'Qredits maandlasten'!$C$8))</f>
        <v/>
      </c>
      <c r="L57" s="130" t="str">
        <f t="shared" si="2"/>
        <v/>
      </c>
      <c r="M57" s="130" t="str">
        <f t="shared" si="0"/>
        <v/>
      </c>
      <c r="N57" s="129"/>
      <c r="O57" s="131" t="str">
        <f>IF($B57="","",'Qredits maandlasten'!$C$8)</f>
        <v/>
      </c>
      <c r="P57" s="131" t="str">
        <f>IF($B57="","",'Qredits maandlasten'!$C$8*(POWER(1+'Qredits maandlasten'!$C$8,$B57-1+1)))</f>
        <v/>
      </c>
      <c r="Q57" s="131" t="str">
        <f t="shared" si="3"/>
        <v/>
      </c>
      <c r="R57" s="129"/>
      <c r="S57" s="130" t="str">
        <f t="shared" si="1"/>
        <v/>
      </c>
      <c r="T57" s="130" t="str">
        <f>IF(S57="","",J57/(POWER(1+'Qredits maandlasten'!$C$8,$B57-1+1)))</f>
        <v/>
      </c>
      <c r="U57" s="132" t="str">
        <f t="shared" si="4"/>
        <v/>
      </c>
      <c r="V57" s="130" t="str">
        <f>IF($B57="","",K57/(POWER(1+'Qredits maandlasten'!$C$8,$B57-1+1)))</f>
        <v/>
      </c>
      <c r="W57" s="129"/>
      <c r="X57" s="132"/>
      <c r="Y57" s="133"/>
    </row>
    <row r="58" spans="1:25" s="134" customFormat="1" x14ac:dyDescent="0.2">
      <c r="A58" s="125"/>
      <c r="B58" s="126" t="str">
        <f>IF($B57="","",IF($B57+1&gt;'Qredits maandlasten'!$C$4,"",Schema!B57+1))</f>
        <v/>
      </c>
      <c r="C58" s="127" t="str">
        <f>IF($B57="","",IF($B57+1&gt;'Qredits maandlasten'!$C$4,"",EOMONTH(C57,0)+1))</f>
        <v/>
      </c>
      <c r="D58" s="125"/>
      <c r="E58" s="127" t="str">
        <f>IF($B57="","",IF($B57+1&gt;'Qredits maandlasten'!$C$4,"",F57+1))</f>
        <v/>
      </c>
      <c r="F58" s="127" t="str">
        <f>IF($B57="","",IF($B57+1&gt;'Qredits maandlasten'!$C$4,"",EOMONTH(E58,0)))</f>
        <v/>
      </c>
      <c r="G58" s="128" t="str">
        <f>IF($B57="","",IF($B57+1&gt;'Qredits maandlasten'!$C$4,"",(_xlfn.DAYS(F58,E58)+1)/DAY(F58)))</f>
        <v/>
      </c>
      <c r="H58" s="129"/>
      <c r="I58" s="130" t="str">
        <f>IF($B57="","",IF($B57+1&gt;'Qredits maandlasten'!$C$4,"",I57-J57))</f>
        <v/>
      </c>
      <c r="J58" s="130" t="str">
        <f>IF($B57="","",IF($B57+1&gt;'Qredits maandlasten'!$C$4,"",IF(B57&lt;'Qredits maandlasten'!$C$11-1,0,IF('Qredits maandlasten'!$C$10=dropdowns!$A$93,'Qredits maandlasten'!$J$3,IF('Qredits maandlasten'!$C$10=dropdowns!$A$92,IFERROR('Qredits maandlasten'!$J$3-K58,0),0)))))</f>
        <v/>
      </c>
      <c r="K58" s="130" t="str">
        <f>IF($B57="","",IF($B57+1&gt;'Qredits maandlasten'!$C$4,"",G58*I58*'Qredits maandlasten'!$C$8))</f>
        <v/>
      </c>
      <c r="L58" s="130" t="str">
        <f t="shared" si="2"/>
        <v/>
      </c>
      <c r="M58" s="130" t="str">
        <f t="shared" si="0"/>
        <v/>
      </c>
      <c r="N58" s="129"/>
      <c r="O58" s="131" t="str">
        <f>IF($B58="","",'Qredits maandlasten'!$C$8)</f>
        <v/>
      </c>
      <c r="P58" s="131" t="str">
        <f>IF($B58="","",'Qredits maandlasten'!$C$8*(POWER(1+'Qredits maandlasten'!$C$8,$B58-1+1)))</f>
        <v/>
      </c>
      <c r="Q58" s="131" t="str">
        <f t="shared" si="3"/>
        <v/>
      </c>
      <c r="R58" s="129"/>
      <c r="S58" s="130" t="str">
        <f t="shared" si="1"/>
        <v/>
      </c>
      <c r="T58" s="130" t="str">
        <f>IF(S58="","",J58/(POWER(1+'Qredits maandlasten'!$C$8,$B58-1+1)))</f>
        <v/>
      </c>
      <c r="U58" s="132" t="str">
        <f t="shared" si="4"/>
        <v/>
      </c>
      <c r="V58" s="130" t="str">
        <f>IF($B58="","",K58/(POWER(1+'Qredits maandlasten'!$C$8,$B58-1+1)))</f>
        <v/>
      </c>
      <c r="W58" s="129"/>
      <c r="X58" s="132"/>
      <c r="Y58" s="133"/>
    </row>
    <row r="59" spans="1:25" s="134" customFormat="1" x14ac:dyDescent="0.2">
      <c r="A59" s="125"/>
      <c r="B59" s="126" t="str">
        <f>IF($B58="","",IF($B58+1&gt;'Qredits maandlasten'!$C$4,"",Schema!B58+1))</f>
        <v/>
      </c>
      <c r="C59" s="127" t="str">
        <f>IF($B58="","",IF($B58+1&gt;'Qredits maandlasten'!$C$4,"",EOMONTH(C58,0)+1))</f>
        <v/>
      </c>
      <c r="D59" s="125"/>
      <c r="E59" s="127" t="str">
        <f>IF($B58="","",IF($B58+1&gt;'Qredits maandlasten'!$C$4,"",F58+1))</f>
        <v/>
      </c>
      <c r="F59" s="127" t="str">
        <f>IF($B58="","",IF($B58+1&gt;'Qredits maandlasten'!$C$4,"",EOMONTH(E59,0)))</f>
        <v/>
      </c>
      <c r="G59" s="128" t="str">
        <f>IF($B58="","",IF($B58+1&gt;'Qredits maandlasten'!$C$4,"",(_xlfn.DAYS(F59,E59)+1)/DAY(F59)))</f>
        <v/>
      </c>
      <c r="H59" s="129"/>
      <c r="I59" s="130" t="str">
        <f>IF($B58="","",IF($B58+1&gt;'Qredits maandlasten'!$C$4,"",I58-J58))</f>
        <v/>
      </c>
      <c r="J59" s="130" t="str">
        <f>IF($B58="","",IF($B58+1&gt;'Qredits maandlasten'!$C$4,"",IF(B58&lt;'Qredits maandlasten'!$C$11-1,0,IF('Qredits maandlasten'!$C$10=dropdowns!$A$93,'Qredits maandlasten'!$J$3,IF('Qredits maandlasten'!$C$10=dropdowns!$A$92,IFERROR('Qredits maandlasten'!$J$3-K59,0),0)))))</f>
        <v/>
      </c>
      <c r="K59" s="130" t="str">
        <f>IF($B58="","",IF($B58+1&gt;'Qredits maandlasten'!$C$4,"",G59*I59*'Qredits maandlasten'!$C$8))</f>
        <v/>
      </c>
      <c r="L59" s="130" t="str">
        <f t="shared" si="2"/>
        <v/>
      </c>
      <c r="M59" s="130" t="str">
        <f t="shared" si="0"/>
        <v/>
      </c>
      <c r="N59" s="129"/>
      <c r="O59" s="131" t="str">
        <f>IF($B59="","",'Qredits maandlasten'!$C$8)</f>
        <v/>
      </c>
      <c r="P59" s="131" t="str">
        <f>IF($B59="","",'Qredits maandlasten'!$C$8*(POWER(1+'Qredits maandlasten'!$C$8,$B59-1+1)))</f>
        <v/>
      </c>
      <c r="Q59" s="131" t="str">
        <f t="shared" si="3"/>
        <v/>
      </c>
      <c r="R59" s="129"/>
      <c r="S59" s="130" t="str">
        <f t="shared" si="1"/>
        <v/>
      </c>
      <c r="T59" s="130" t="str">
        <f>IF(S59="","",J59/(POWER(1+'Qredits maandlasten'!$C$8,$B59-1+1)))</f>
        <v/>
      </c>
      <c r="U59" s="132" t="str">
        <f t="shared" si="4"/>
        <v/>
      </c>
      <c r="V59" s="130" t="str">
        <f>IF($B59="","",K59/(POWER(1+'Qredits maandlasten'!$C$8,$B59-1+1)))</f>
        <v/>
      </c>
      <c r="W59" s="129"/>
      <c r="X59" s="132"/>
      <c r="Y59" s="133"/>
    </row>
    <row r="60" spans="1:25" s="134" customFormat="1" x14ac:dyDescent="0.2">
      <c r="A60" s="125"/>
      <c r="B60" s="126" t="str">
        <f>IF($B59="","",IF($B59+1&gt;'Qredits maandlasten'!$C$4,"",Schema!B59+1))</f>
        <v/>
      </c>
      <c r="C60" s="127" t="str">
        <f>IF($B59="","",IF($B59+1&gt;'Qredits maandlasten'!$C$4,"",EOMONTH(C59,0)+1))</f>
        <v/>
      </c>
      <c r="D60" s="125"/>
      <c r="E60" s="127" t="str">
        <f>IF($B59="","",IF($B59+1&gt;'Qredits maandlasten'!$C$4,"",F59+1))</f>
        <v/>
      </c>
      <c r="F60" s="127" t="str">
        <f>IF($B59="","",IF($B59+1&gt;'Qredits maandlasten'!$C$4,"",EOMONTH(E60,0)))</f>
        <v/>
      </c>
      <c r="G60" s="128" t="str">
        <f>IF($B59="","",IF($B59+1&gt;'Qredits maandlasten'!$C$4,"",(_xlfn.DAYS(F60,E60)+1)/DAY(F60)))</f>
        <v/>
      </c>
      <c r="H60" s="129"/>
      <c r="I60" s="130" t="str">
        <f>IF($B59="","",IF($B59+1&gt;'Qredits maandlasten'!$C$4,"",I59-J59))</f>
        <v/>
      </c>
      <c r="J60" s="130" t="str">
        <f>IF($B59="","",IF($B59+1&gt;'Qredits maandlasten'!$C$4,"",IF(B59&lt;'Qredits maandlasten'!$C$11-1,0,IF('Qredits maandlasten'!$C$10=dropdowns!$A$93,'Qredits maandlasten'!$J$3,IF('Qredits maandlasten'!$C$10=dropdowns!$A$92,IFERROR('Qredits maandlasten'!$J$3-K60,0),0)))))</f>
        <v/>
      </c>
      <c r="K60" s="130" t="str">
        <f>IF($B59="","",IF($B59+1&gt;'Qredits maandlasten'!$C$4,"",G60*I60*'Qredits maandlasten'!$C$8))</f>
        <v/>
      </c>
      <c r="L60" s="130" t="str">
        <f t="shared" si="2"/>
        <v/>
      </c>
      <c r="M60" s="130" t="str">
        <f t="shared" si="0"/>
        <v/>
      </c>
      <c r="N60" s="129"/>
      <c r="O60" s="131" t="str">
        <f>IF($B60="","",'Qredits maandlasten'!$C$8)</f>
        <v/>
      </c>
      <c r="P60" s="131" t="str">
        <f>IF($B60="","",'Qredits maandlasten'!$C$8*(POWER(1+'Qredits maandlasten'!$C$8,$B60-1+1)))</f>
        <v/>
      </c>
      <c r="Q60" s="131" t="str">
        <f t="shared" si="3"/>
        <v/>
      </c>
      <c r="R60" s="129"/>
      <c r="S60" s="130" t="str">
        <f t="shared" si="1"/>
        <v/>
      </c>
      <c r="T60" s="130" t="str">
        <f>IF(S60="","",J60/(POWER(1+'Qredits maandlasten'!$C$8,$B60-1+1)))</f>
        <v/>
      </c>
      <c r="U60" s="132" t="str">
        <f t="shared" si="4"/>
        <v/>
      </c>
      <c r="V60" s="130" t="str">
        <f>IF($B60="","",K60/(POWER(1+'Qredits maandlasten'!$C$8,$B60-1+1)))</f>
        <v/>
      </c>
      <c r="W60" s="129"/>
      <c r="X60" s="132"/>
      <c r="Y60" s="133"/>
    </row>
    <row r="61" spans="1:25" s="134" customFormat="1" x14ac:dyDescent="0.2">
      <c r="A61" s="125"/>
      <c r="B61" s="126" t="str">
        <f>IF($B60="","",IF($B60+1&gt;'Qredits maandlasten'!$C$4,"",Schema!B60+1))</f>
        <v/>
      </c>
      <c r="C61" s="127" t="str">
        <f>IF($B60="","",IF($B60+1&gt;'Qredits maandlasten'!$C$4,"",EOMONTH(C60,0)+1))</f>
        <v/>
      </c>
      <c r="D61" s="125"/>
      <c r="E61" s="127" t="str">
        <f>IF($B60="","",IF($B60+1&gt;'Qredits maandlasten'!$C$4,"",F60+1))</f>
        <v/>
      </c>
      <c r="F61" s="127" t="str">
        <f>IF($B60="","",IF($B60+1&gt;'Qredits maandlasten'!$C$4,"",EOMONTH(E61,0)))</f>
        <v/>
      </c>
      <c r="G61" s="128" t="str">
        <f>IF($B60="","",IF($B60+1&gt;'Qredits maandlasten'!$C$4,"",(_xlfn.DAYS(F61,E61)+1)/DAY(F61)))</f>
        <v/>
      </c>
      <c r="H61" s="129"/>
      <c r="I61" s="130" t="str">
        <f>IF($B60="","",IF($B60+1&gt;'Qredits maandlasten'!$C$4,"",I60-J60))</f>
        <v/>
      </c>
      <c r="J61" s="130" t="str">
        <f>IF($B60="","",IF($B60+1&gt;'Qredits maandlasten'!$C$4,"",IF(B60&lt;'Qredits maandlasten'!$C$11-1,0,IF('Qredits maandlasten'!$C$10=dropdowns!$A$93,'Qredits maandlasten'!$J$3,IF('Qredits maandlasten'!$C$10=dropdowns!$A$92,IFERROR('Qredits maandlasten'!$J$3-K61,0),0)))))</f>
        <v/>
      </c>
      <c r="K61" s="130" t="str">
        <f>IF($B60="","",IF($B60+1&gt;'Qredits maandlasten'!$C$4,"",G61*I61*'Qredits maandlasten'!$C$8))</f>
        <v/>
      </c>
      <c r="L61" s="130" t="str">
        <f t="shared" si="2"/>
        <v/>
      </c>
      <c r="M61" s="130" t="str">
        <f t="shared" si="0"/>
        <v/>
      </c>
      <c r="N61" s="129"/>
      <c r="O61" s="131" t="str">
        <f>IF($B61="","",'Qredits maandlasten'!$C$8)</f>
        <v/>
      </c>
      <c r="P61" s="131" t="str">
        <f>IF($B61="","",'Qredits maandlasten'!$C$8*(POWER(1+'Qredits maandlasten'!$C$8,$B61-1+1)))</f>
        <v/>
      </c>
      <c r="Q61" s="131" t="str">
        <f t="shared" si="3"/>
        <v/>
      </c>
      <c r="R61" s="129"/>
      <c r="S61" s="130" t="str">
        <f t="shared" si="1"/>
        <v/>
      </c>
      <c r="T61" s="130" t="str">
        <f>IF(S61="","",J61/(POWER(1+'Qredits maandlasten'!$C$8,$B61-1+1)))</f>
        <v/>
      </c>
      <c r="U61" s="132" t="str">
        <f t="shared" si="4"/>
        <v/>
      </c>
      <c r="V61" s="130" t="str">
        <f>IF($B61="","",K61/(POWER(1+'Qredits maandlasten'!$C$8,$B61-1+1)))</f>
        <v/>
      </c>
      <c r="W61" s="129"/>
      <c r="X61" s="132"/>
      <c r="Y61" s="133"/>
    </row>
    <row r="62" spans="1:25" s="134" customFormat="1" x14ac:dyDescent="0.2">
      <c r="A62" s="125"/>
      <c r="B62" s="126" t="str">
        <f>IF($B61="","",IF($B61+1&gt;'Qredits maandlasten'!$C$4,"",Schema!B61+1))</f>
        <v/>
      </c>
      <c r="C62" s="127" t="str">
        <f>IF($B61="","",IF($B61+1&gt;'Qredits maandlasten'!$C$4,"",EOMONTH(C61,0)+1))</f>
        <v/>
      </c>
      <c r="D62" s="125"/>
      <c r="E62" s="127" t="str">
        <f>IF($B61="","",IF($B61+1&gt;'Qredits maandlasten'!$C$4,"",F61+1))</f>
        <v/>
      </c>
      <c r="F62" s="127" t="str">
        <f>IF($B61="","",IF($B61+1&gt;'Qredits maandlasten'!$C$4,"",EOMONTH(E62,0)))</f>
        <v/>
      </c>
      <c r="G62" s="128" t="str">
        <f>IF($B61="","",IF($B61+1&gt;'Qredits maandlasten'!$C$4,"",(_xlfn.DAYS(F62,E62)+1)/DAY(F62)))</f>
        <v/>
      </c>
      <c r="H62" s="129"/>
      <c r="I62" s="130" t="str">
        <f>IF($B61="","",IF($B61+1&gt;'Qredits maandlasten'!$C$4,"",I61-J61))</f>
        <v/>
      </c>
      <c r="J62" s="130" t="str">
        <f>IF($B61="","",IF($B61+1&gt;'Qredits maandlasten'!$C$4,"",IF(B61&lt;'Qredits maandlasten'!$C$11-1,0,IF('Qredits maandlasten'!$C$10=dropdowns!$A$93,'Qredits maandlasten'!$J$3,IF('Qredits maandlasten'!$C$10=dropdowns!$A$92,IFERROR('Qredits maandlasten'!$J$3-K62,0),0)))))</f>
        <v/>
      </c>
      <c r="K62" s="130" t="str">
        <f>IF($B61="","",IF($B61+1&gt;'Qredits maandlasten'!$C$4,"",G62*I62*'Qredits maandlasten'!$C$8))</f>
        <v/>
      </c>
      <c r="L62" s="130" t="str">
        <f t="shared" si="2"/>
        <v/>
      </c>
      <c r="M62" s="130" t="str">
        <f t="shared" si="0"/>
        <v/>
      </c>
      <c r="N62" s="129"/>
      <c r="O62" s="131" t="str">
        <f>IF($B62="","",'Qredits maandlasten'!$C$8)</f>
        <v/>
      </c>
      <c r="P62" s="131" t="str">
        <f>IF($B62="","",'Qredits maandlasten'!$C$8*(POWER(1+'Qredits maandlasten'!$C$8,$B62-1+1)))</f>
        <v/>
      </c>
      <c r="Q62" s="131" t="str">
        <f t="shared" si="3"/>
        <v/>
      </c>
      <c r="R62" s="129"/>
      <c r="S62" s="130" t="str">
        <f t="shared" si="1"/>
        <v/>
      </c>
      <c r="T62" s="130" t="str">
        <f>IF(S62="","",J62/(POWER(1+'Qredits maandlasten'!$C$8,$B62-1+1)))</f>
        <v/>
      </c>
      <c r="U62" s="132" t="str">
        <f t="shared" si="4"/>
        <v/>
      </c>
      <c r="V62" s="130" t="str">
        <f>IF($B62="","",K62/(POWER(1+'Qredits maandlasten'!$C$8,$B62-1+1)))</f>
        <v/>
      </c>
      <c r="W62" s="129"/>
      <c r="X62" s="132"/>
      <c r="Y62" s="133"/>
    </row>
    <row r="63" spans="1:25" s="134" customFormat="1" x14ac:dyDescent="0.2">
      <c r="A63" s="125"/>
      <c r="B63" s="126" t="str">
        <f>IF($B62="","",IF($B62+1&gt;'Qredits maandlasten'!$C$4,"",Schema!B62+1))</f>
        <v/>
      </c>
      <c r="C63" s="127" t="str">
        <f>IF($B62="","",IF($B62+1&gt;'Qredits maandlasten'!$C$4,"",EOMONTH(C62,0)+1))</f>
        <v/>
      </c>
      <c r="D63" s="125"/>
      <c r="E63" s="127" t="str">
        <f>IF($B62="","",IF($B62+1&gt;'Qredits maandlasten'!$C$4,"",F62+1))</f>
        <v/>
      </c>
      <c r="F63" s="127" t="str">
        <f>IF($B62="","",IF($B62+1&gt;'Qredits maandlasten'!$C$4,"",EOMONTH(E63,0)))</f>
        <v/>
      </c>
      <c r="G63" s="128" t="str">
        <f>IF($B62="","",IF($B62+1&gt;'Qredits maandlasten'!$C$4,"",(_xlfn.DAYS(F63,E63)+1)/DAY(F63)))</f>
        <v/>
      </c>
      <c r="H63" s="129"/>
      <c r="I63" s="130" t="str">
        <f>IF($B62="","",IF($B62+1&gt;'Qredits maandlasten'!$C$4,"",I62-J62))</f>
        <v/>
      </c>
      <c r="J63" s="130" t="str">
        <f>IF($B62="","",IF($B62+1&gt;'Qredits maandlasten'!$C$4,"",IF(B62&lt;'Qredits maandlasten'!$C$11-1,0,IF('Qredits maandlasten'!$C$10=dropdowns!$A$93,'Qredits maandlasten'!$J$3,IF('Qredits maandlasten'!$C$10=dropdowns!$A$92,IFERROR('Qredits maandlasten'!$J$3-K63,0),0)))))</f>
        <v/>
      </c>
      <c r="K63" s="130" t="str">
        <f>IF($B62="","",IF($B62+1&gt;'Qredits maandlasten'!$C$4,"",G63*I63*'Qredits maandlasten'!$C$8))</f>
        <v/>
      </c>
      <c r="L63" s="130" t="str">
        <f t="shared" si="2"/>
        <v/>
      </c>
      <c r="M63" s="130" t="str">
        <f t="shared" si="0"/>
        <v/>
      </c>
      <c r="N63" s="129"/>
      <c r="O63" s="131" t="str">
        <f>IF($B63="","",'Qredits maandlasten'!$C$8)</f>
        <v/>
      </c>
      <c r="P63" s="131" t="str">
        <f>IF($B63="","",'Qredits maandlasten'!$C$8*(POWER(1+'Qredits maandlasten'!$C$8,$B63-1+1)))</f>
        <v/>
      </c>
      <c r="Q63" s="131" t="str">
        <f t="shared" si="3"/>
        <v/>
      </c>
      <c r="R63" s="129"/>
      <c r="S63" s="130" t="str">
        <f t="shared" si="1"/>
        <v/>
      </c>
      <c r="T63" s="130" t="str">
        <f>IF(S63="","",J63/(POWER(1+'Qredits maandlasten'!$C$8,$B63-1+1)))</f>
        <v/>
      </c>
      <c r="U63" s="132" t="str">
        <f t="shared" si="4"/>
        <v/>
      </c>
      <c r="V63" s="130" t="str">
        <f>IF($B63="","",K63/(POWER(1+'Qredits maandlasten'!$C$8,$B63-1+1)))</f>
        <v/>
      </c>
      <c r="W63" s="129"/>
      <c r="X63" s="132"/>
      <c r="Y63" s="133"/>
    </row>
    <row r="64" spans="1:25" s="134" customFormat="1" x14ac:dyDescent="0.2">
      <c r="A64" s="125"/>
      <c r="B64" s="126" t="str">
        <f>IF($B63="","",IF($B63+1&gt;'Qredits maandlasten'!$C$4,"",Schema!B63+1))</f>
        <v/>
      </c>
      <c r="C64" s="127" t="str">
        <f>IF($B63="","",IF($B63+1&gt;'Qredits maandlasten'!$C$4,"",EOMONTH(C63,0)+1))</f>
        <v/>
      </c>
      <c r="D64" s="125"/>
      <c r="E64" s="127" t="str">
        <f>IF($B63="","",IF($B63+1&gt;'Qredits maandlasten'!$C$4,"",F63+1))</f>
        <v/>
      </c>
      <c r="F64" s="127" t="str">
        <f>IF($B63="","",IF($B63+1&gt;'Qredits maandlasten'!$C$4,"",EOMONTH(E64,0)))</f>
        <v/>
      </c>
      <c r="G64" s="128" t="str">
        <f>IF($B63="","",IF($B63+1&gt;'Qredits maandlasten'!$C$4,"",(_xlfn.DAYS(F64,E64)+1)/DAY(F64)))</f>
        <v/>
      </c>
      <c r="H64" s="129"/>
      <c r="I64" s="130" t="str">
        <f>IF($B63="","",IF($B63+1&gt;'Qredits maandlasten'!$C$4,"",I63-J63))</f>
        <v/>
      </c>
      <c r="J64" s="130" t="str">
        <f>IF($B63="","",IF($B63+1&gt;'Qredits maandlasten'!$C$4,"",IF(B63&lt;'Qredits maandlasten'!$C$11-1,0,IF('Qredits maandlasten'!$C$10=dropdowns!$A$93,'Qredits maandlasten'!$J$3,IF('Qredits maandlasten'!$C$10=dropdowns!$A$92,IFERROR('Qredits maandlasten'!$J$3-K64,0),0)))))</f>
        <v/>
      </c>
      <c r="K64" s="130" t="str">
        <f>IF($B63="","",IF($B63+1&gt;'Qredits maandlasten'!$C$4,"",G64*I64*'Qredits maandlasten'!$C$8))</f>
        <v/>
      </c>
      <c r="L64" s="130" t="str">
        <f t="shared" si="2"/>
        <v/>
      </c>
      <c r="M64" s="130" t="str">
        <f t="shared" si="0"/>
        <v/>
      </c>
      <c r="N64" s="129"/>
      <c r="O64" s="131" t="str">
        <f>IF($B64="","",'Qredits maandlasten'!$C$8)</f>
        <v/>
      </c>
      <c r="P64" s="131" t="str">
        <f>IF($B64="","",'Qredits maandlasten'!$C$8*(POWER(1+'Qredits maandlasten'!$C$8,$B64-1+1)))</f>
        <v/>
      </c>
      <c r="Q64" s="131" t="str">
        <f t="shared" si="3"/>
        <v/>
      </c>
      <c r="R64" s="129"/>
      <c r="S64" s="130" t="str">
        <f t="shared" si="1"/>
        <v/>
      </c>
      <c r="T64" s="130" t="str">
        <f>IF(S64="","",J64/(POWER(1+'Qredits maandlasten'!$C$8,$B64-1+1)))</f>
        <v/>
      </c>
      <c r="U64" s="132" t="str">
        <f t="shared" si="4"/>
        <v/>
      </c>
      <c r="V64" s="130" t="str">
        <f>IF($B64="","",K64/(POWER(1+'Qredits maandlasten'!$C$8,$B64-1+1)))</f>
        <v/>
      </c>
      <c r="W64" s="129"/>
      <c r="X64" s="132"/>
      <c r="Y64" s="133"/>
    </row>
    <row r="65" spans="1:25" s="134" customFormat="1" x14ac:dyDescent="0.2">
      <c r="A65" s="125"/>
      <c r="B65" s="126" t="str">
        <f>IF($B64="","",IF($B64+1&gt;'Qredits maandlasten'!$C$4,"",Schema!B64+1))</f>
        <v/>
      </c>
      <c r="C65" s="127" t="str">
        <f>IF($B64="","",IF($B64+1&gt;'Qredits maandlasten'!$C$4,"",EOMONTH(C64,0)+1))</f>
        <v/>
      </c>
      <c r="D65" s="125"/>
      <c r="E65" s="127" t="str">
        <f>IF($B64="","",IF($B64+1&gt;'Qredits maandlasten'!$C$4,"",F64+1))</f>
        <v/>
      </c>
      <c r="F65" s="127" t="str">
        <f>IF($B64="","",IF($B64+1&gt;'Qredits maandlasten'!$C$4,"",EOMONTH(E65,0)))</f>
        <v/>
      </c>
      <c r="G65" s="128" t="str">
        <f>IF($B64="","",IF($B64+1&gt;'Qredits maandlasten'!$C$4,"",(_xlfn.DAYS(F65,E65)+1)/DAY(F65)))</f>
        <v/>
      </c>
      <c r="H65" s="129"/>
      <c r="I65" s="130" t="str">
        <f>IF($B64="","",IF($B64+1&gt;'Qredits maandlasten'!$C$4,"",I64-J64))</f>
        <v/>
      </c>
      <c r="J65" s="130" t="str">
        <f>IF($B64="","",IF($B64+1&gt;'Qredits maandlasten'!$C$4,"",IF(B64&lt;'Qredits maandlasten'!$C$11-1,0,IF('Qredits maandlasten'!$C$10=dropdowns!$A$93,'Qredits maandlasten'!$J$3,IF('Qredits maandlasten'!$C$10=dropdowns!$A$92,IFERROR('Qredits maandlasten'!$J$3-K65,0),0)))))</f>
        <v/>
      </c>
      <c r="K65" s="130" t="str">
        <f>IF($B64="","",IF($B64+1&gt;'Qredits maandlasten'!$C$4,"",G65*I65*'Qredits maandlasten'!$C$8))</f>
        <v/>
      </c>
      <c r="L65" s="130" t="str">
        <f t="shared" si="2"/>
        <v/>
      </c>
      <c r="M65" s="130" t="str">
        <f t="shared" si="0"/>
        <v/>
      </c>
      <c r="N65" s="129"/>
      <c r="O65" s="131" t="str">
        <f>IF($B65="","",'Qredits maandlasten'!$C$8)</f>
        <v/>
      </c>
      <c r="P65" s="131" t="str">
        <f>IF($B65="","",'Qredits maandlasten'!$C$8*(POWER(1+'Qredits maandlasten'!$C$8,$B65-1+1)))</f>
        <v/>
      </c>
      <c r="Q65" s="131" t="str">
        <f t="shared" si="3"/>
        <v/>
      </c>
      <c r="R65" s="129"/>
      <c r="S65" s="130" t="str">
        <f t="shared" si="1"/>
        <v/>
      </c>
      <c r="T65" s="130" t="str">
        <f>IF(S65="","",J65/(POWER(1+'Qredits maandlasten'!$C$8,$B65-1+1)))</f>
        <v/>
      </c>
      <c r="U65" s="132" t="str">
        <f t="shared" si="4"/>
        <v/>
      </c>
      <c r="V65" s="130" t="str">
        <f>IF($B65="","",K65/(POWER(1+'Qredits maandlasten'!$C$8,$B65-1+1)))</f>
        <v/>
      </c>
      <c r="W65" s="129"/>
      <c r="X65" s="132"/>
      <c r="Y65" s="133"/>
    </row>
    <row r="66" spans="1:25" s="134" customFormat="1" x14ac:dyDescent="0.2">
      <c r="A66" s="125"/>
      <c r="B66" s="126" t="str">
        <f>IF($B65="","",IF($B65+1&gt;'Qredits maandlasten'!$C$4,"",Schema!B65+1))</f>
        <v/>
      </c>
      <c r="C66" s="127" t="str">
        <f>IF($B65="","",IF($B65+1&gt;'Qredits maandlasten'!$C$4,"",EOMONTH(C65,0)+1))</f>
        <v/>
      </c>
      <c r="D66" s="125"/>
      <c r="E66" s="127" t="str">
        <f>IF($B65="","",IF($B65+1&gt;'Qredits maandlasten'!$C$4,"",F65+1))</f>
        <v/>
      </c>
      <c r="F66" s="127" t="str">
        <f>IF($B65="","",IF($B65+1&gt;'Qredits maandlasten'!$C$4,"",EOMONTH(E66,0)))</f>
        <v/>
      </c>
      <c r="G66" s="128" t="str">
        <f>IF($B65="","",IF($B65+1&gt;'Qredits maandlasten'!$C$4,"",(_xlfn.DAYS(F66,E66)+1)/DAY(F66)))</f>
        <v/>
      </c>
      <c r="H66" s="129"/>
      <c r="I66" s="130" t="str">
        <f>IF($B65="","",IF($B65+1&gt;'Qredits maandlasten'!$C$4,"",I65-J65))</f>
        <v/>
      </c>
      <c r="J66" s="130" t="str">
        <f>IF($B65="","",IF($B65+1&gt;'Qredits maandlasten'!$C$4,"",IF(B65&lt;'Qredits maandlasten'!$C$11-1,0,IF('Qredits maandlasten'!$C$10=dropdowns!$A$93,'Qredits maandlasten'!$J$3,IF('Qredits maandlasten'!$C$10=dropdowns!$A$92,IFERROR('Qredits maandlasten'!$J$3-K66,0),0)))))</f>
        <v/>
      </c>
      <c r="K66" s="130" t="str">
        <f>IF($B65="","",IF($B65+1&gt;'Qredits maandlasten'!$C$4,"",G66*I66*'Qredits maandlasten'!$C$8))</f>
        <v/>
      </c>
      <c r="L66" s="130" t="str">
        <f t="shared" si="2"/>
        <v/>
      </c>
      <c r="M66" s="130" t="str">
        <f t="shared" si="0"/>
        <v/>
      </c>
      <c r="N66" s="129"/>
      <c r="O66" s="131" t="str">
        <f>IF($B66="","",'Qredits maandlasten'!$C$8)</f>
        <v/>
      </c>
      <c r="P66" s="131" t="str">
        <f>IF($B66="","",'Qredits maandlasten'!$C$8*(POWER(1+'Qredits maandlasten'!$C$8,$B66-1+1)))</f>
        <v/>
      </c>
      <c r="Q66" s="131" t="str">
        <f t="shared" si="3"/>
        <v/>
      </c>
      <c r="R66" s="129"/>
      <c r="S66" s="130" t="str">
        <f t="shared" si="1"/>
        <v/>
      </c>
      <c r="T66" s="130" t="str">
        <f>IF(S66="","",J66/(POWER(1+'Qredits maandlasten'!$C$8,$B66-1+1)))</f>
        <v/>
      </c>
      <c r="U66" s="132" t="str">
        <f t="shared" si="4"/>
        <v/>
      </c>
      <c r="V66" s="130" t="str">
        <f>IF($B66="","",K66/(POWER(1+'Qredits maandlasten'!$C$8,$B66-1+1)))</f>
        <v/>
      </c>
      <c r="W66" s="129"/>
      <c r="X66" s="132"/>
      <c r="Y66" s="133"/>
    </row>
    <row r="67" spans="1:25" s="134" customFormat="1" x14ac:dyDescent="0.2">
      <c r="A67" s="125"/>
      <c r="B67" s="126" t="str">
        <f>IF($B66="","",IF($B66+1&gt;'Qredits maandlasten'!$C$4,"",Schema!B66+1))</f>
        <v/>
      </c>
      <c r="C67" s="127" t="str">
        <f>IF($B66="","",IF($B66+1&gt;'Qredits maandlasten'!$C$4,"",EOMONTH(C66,0)+1))</f>
        <v/>
      </c>
      <c r="D67" s="125"/>
      <c r="E67" s="127" t="str">
        <f>IF($B66="","",IF($B66+1&gt;'Qredits maandlasten'!$C$4,"",F66+1))</f>
        <v/>
      </c>
      <c r="F67" s="127" t="str">
        <f>IF($B66="","",IF($B66+1&gt;'Qredits maandlasten'!$C$4,"",EOMONTH(E67,0)))</f>
        <v/>
      </c>
      <c r="G67" s="128" t="str">
        <f>IF($B66="","",IF($B66+1&gt;'Qredits maandlasten'!$C$4,"",(_xlfn.DAYS(F67,E67)+1)/DAY(F67)))</f>
        <v/>
      </c>
      <c r="H67" s="129"/>
      <c r="I67" s="130" t="str">
        <f>IF($B66="","",IF($B66+1&gt;'Qredits maandlasten'!$C$4,"",I66-J66))</f>
        <v/>
      </c>
      <c r="J67" s="130" t="str">
        <f>IF($B66="","",IF($B66+1&gt;'Qredits maandlasten'!$C$4,"",IF(B66&lt;'Qredits maandlasten'!$C$11-1,0,IF('Qredits maandlasten'!$C$10=dropdowns!$A$93,'Qredits maandlasten'!$J$3,IF('Qredits maandlasten'!$C$10=dropdowns!$A$92,IFERROR('Qredits maandlasten'!$J$3-K67,0),0)))))</f>
        <v/>
      </c>
      <c r="K67" s="130" t="str">
        <f>IF($B66="","",IF($B66+1&gt;'Qredits maandlasten'!$C$4,"",G67*I67*'Qredits maandlasten'!$C$8))</f>
        <v/>
      </c>
      <c r="L67" s="130" t="str">
        <f t="shared" si="2"/>
        <v/>
      </c>
      <c r="M67" s="130" t="str">
        <f t="shared" si="0"/>
        <v/>
      </c>
      <c r="N67" s="129"/>
      <c r="O67" s="131" t="str">
        <f>IF($B67="","",'Qredits maandlasten'!$C$8)</f>
        <v/>
      </c>
      <c r="P67" s="131" t="str">
        <f>IF($B67="","",'Qredits maandlasten'!$C$8*(POWER(1+'Qredits maandlasten'!$C$8,$B67-1+1)))</f>
        <v/>
      </c>
      <c r="Q67" s="131" t="str">
        <f t="shared" si="3"/>
        <v/>
      </c>
      <c r="R67" s="129"/>
      <c r="S67" s="130" t="str">
        <f t="shared" si="1"/>
        <v/>
      </c>
      <c r="T67" s="130" t="str">
        <f>IF(S67="","",J67/(POWER(1+'Qredits maandlasten'!$C$8,$B67-1+1)))</f>
        <v/>
      </c>
      <c r="U67" s="132" t="str">
        <f t="shared" si="4"/>
        <v/>
      </c>
      <c r="V67" s="130" t="str">
        <f>IF($B67="","",K67/(POWER(1+'Qredits maandlasten'!$C$8,$B67-1+1)))</f>
        <v/>
      </c>
      <c r="W67" s="129"/>
      <c r="X67" s="132"/>
      <c r="Y67" s="133"/>
    </row>
    <row r="68" spans="1:25" s="134" customFormat="1" x14ac:dyDescent="0.2">
      <c r="A68" s="125"/>
      <c r="B68" s="126" t="str">
        <f>IF($B67="","",IF($B67+1&gt;'Qredits maandlasten'!$C$4,"",Schema!B67+1))</f>
        <v/>
      </c>
      <c r="C68" s="127" t="str">
        <f>IF($B67="","",IF($B67+1&gt;'Qredits maandlasten'!$C$4,"",EOMONTH(C67,0)+1))</f>
        <v/>
      </c>
      <c r="D68" s="125"/>
      <c r="E68" s="127" t="str">
        <f>IF($B67="","",IF($B67+1&gt;'Qredits maandlasten'!$C$4,"",F67+1))</f>
        <v/>
      </c>
      <c r="F68" s="127" t="str">
        <f>IF($B67="","",IF($B67+1&gt;'Qredits maandlasten'!$C$4,"",EOMONTH(E68,0)))</f>
        <v/>
      </c>
      <c r="G68" s="128" t="str">
        <f>IF($B67="","",IF($B67+1&gt;'Qredits maandlasten'!$C$4,"",(_xlfn.DAYS(F68,E68)+1)/DAY(F68)))</f>
        <v/>
      </c>
      <c r="H68" s="129"/>
      <c r="I68" s="130" t="str">
        <f>IF($B67="","",IF($B67+1&gt;'Qredits maandlasten'!$C$4,"",I67-J67))</f>
        <v/>
      </c>
      <c r="J68" s="130" t="str">
        <f>IF($B67="","",IF($B67+1&gt;'Qredits maandlasten'!$C$4,"",IF(B67&lt;'Qredits maandlasten'!$C$11-1,0,IF('Qredits maandlasten'!$C$10=dropdowns!$A$93,'Qredits maandlasten'!$J$3,IF('Qredits maandlasten'!$C$10=dropdowns!$A$92,IFERROR('Qredits maandlasten'!$J$3-K68,0),0)))))</f>
        <v/>
      </c>
      <c r="K68" s="130" t="str">
        <f>IF($B67="","",IF($B67+1&gt;'Qredits maandlasten'!$C$4,"",G68*I68*'Qredits maandlasten'!$C$8))</f>
        <v/>
      </c>
      <c r="L68" s="130" t="str">
        <f t="shared" si="2"/>
        <v/>
      </c>
      <c r="M68" s="130" t="str">
        <f t="shared" si="0"/>
        <v/>
      </c>
      <c r="N68" s="129"/>
      <c r="O68" s="131" t="str">
        <f>IF($B68="","",'Qredits maandlasten'!$C$8)</f>
        <v/>
      </c>
      <c r="P68" s="131" t="str">
        <f>IF($B68="","",'Qredits maandlasten'!$C$8*(POWER(1+'Qredits maandlasten'!$C$8,$B68-1+1)))</f>
        <v/>
      </c>
      <c r="Q68" s="131" t="str">
        <f t="shared" si="3"/>
        <v/>
      </c>
      <c r="R68" s="129"/>
      <c r="S68" s="130" t="str">
        <f t="shared" si="1"/>
        <v/>
      </c>
      <c r="T68" s="130" t="str">
        <f>IF(S68="","",J68/(POWER(1+'Qredits maandlasten'!$C$8,$B68-1+1)))</f>
        <v/>
      </c>
      <c r="U68" s="132" t="str">
        <f t="shared" si="4"/>
        <v/>
      </c>
      <c r="V68" s="130" t="str">
        <f>IF($B68="","",K68/(POWER(1+'Qredits maandlasten'!$C$8,$B68-1+1)))</f>
        <v/>
      </c>
      <c r="W68" s="129"/>
      <c r="X68" s="132"/>
      <c r="Y68" s="133"/>
    </row>
    <row r="69" spans="1:25" s="134" customFormat="1" x14ac:dyDescent="0.2">
      <c r="A69" s="125"/>
      <c r="B69" s="126" t="str">
        <f>IF($B68="","",IF($B68+1&gt;'Qredits maandlasten'!$C$4,"",Schema!B68+1))</f>
        <v/>
      </c>
      <c r="C69" s="127" t="str">
        <f>IF($B68="","",IF($B68+1&gt;'Qredits maandlasten'!$C$4,"",EOMONTH(C68,0)+1))</f>
        <v/>
      </c>
      <c r="D69" s="125"/>
      <c r="E69" s="127" t="str">
        <f>IF($B68="","",IF($B68+1&gt;'Qredits maandlasten'!$C$4,"",F68+1))</f>
        <v/>
      </c>
      <c r="F69" s="127" t="str">
        <f>IF($B68="","",IF($B68+1&gt;'Qredits maandlasten'!$C$4,"",EOMONTH(E69,0)))</f>
        <v/>
      </c>
      <c r="G69" s="128" t="str">
        <f>IF($B68="","",IF($B68+1&gt;'Qredits maandlasten'!$C$4,"",(_xlfn.DAYS(F69,E69)+1)/DAY(F69)))</f>
        <v/>
      </c>
      <c r="H69" s="129"/>
      <c r="I69" s="130" t="str">
        <f>IF($B68="","",IF($B68+1&gt;'Qredits maandlasten'!$C$4,"",I68-J68))</f>
        <v/>
      </c>
      <c r="J69" s="130" t="str">
        <f>IF($B68="","",IF($B68+1&gt;'Qredits maandlasten'!$C$4,"",IF(B68&lt;'Qredits maandlasten'!$C$11-1,0,IF('Qredits maandlasten'!$C$10=dropdowns!$A$93,'Qredits maandlasten'!$J$3,IF('Qredits maandlasten'!$C$10=dropdowns!$A$92,IFERROR('Qredits maandlasten'!$J$3-K69,0),0)))))</f>
        <v/>
      </c>
      <c r="K69" s="130" t="str">
        <f>IF($B68="","",IF($B68+1&gt;'Qredits maandlasten'!$C$4,"",G69*I69*'Qredits maandlasten'!$C$8))</f>
        <v/>
      </c>
      <c r="L69" s="130" t="str">
        <f t="shared" si="2"/>
        <v/>
      </c>
      <c r="M69" s="130" t="str">
        <f t="shared" si="0"/>
        <v/>
      </c>
      <c r="N69" s="129"/>
      <c r="O69" s="131" t="str">
        <f>IF($B69="","",'Qredits maandlasten'!$C$8)</f>
        <v/>
      </c>
      <c r="P69" s="131" t="str">
        <f>IF($B69="","",'Qredits maandlasten'!$C$8*(POWER(1+'Qredits maandlasten'!$C$8,$B69-1+1)))</f>
        <v/>
      </c>
      <c r="Q69" s="131" t="str">
        <f t="shared" si="3"/>
        <v/>
      </c>
      <c r="R69" s="129"/>
      <c r="S69" s="130" t="str">
        <f t="shared" si="1"/>
        <v/>
      </c>
      <c r="T69" s="130" t="str">
        <f>IF(S69="","",J69/(POWER(1+'Qredits maandlasten'!$C$8,$B69-1+1)))</f>
        <v/>
      </c>
      <c r="U69" s="132" t="str">
        <f t="shared" si="4"/>
        <v/>
      </c>
      <c r="V69" s="130" t="str">
        <f>IF($B69="","",K69/(POWER(1+'Qredits maandlasten'!$C$8,$B69-1+1)))</f>
        <v/>
      </c>
      <c r="W69" s="129"/>
    </row>
    <row r="70" spans="1:25" s="134" customFormat="1" x14ac:dyDescent="0.2">
      <c r="A70" s="125"/>
      <c r="B70" s="126" t="str">
        <f>IF($B69="","",IF($B69+1&gt;'Qredits maandlasten'!$C$4,"",Schema!B69+1))</f>
        <v/>
      </c>
      <c r="C70" s="127" t="str">
        <f>IF($B69="","",IF($B69+1&gt;'Qredits maandlasten'!$C$4,"",EOMONTH(C69,0)+1))</f>
        <v/>
      </c>
      <c r="D70" s="125"/>
      <c r="E70" s="127" t="str">
        <f>IF($B69="","",IF($B69+1&gt;'Qredits maandlasten'!$C$4,"",F69+1))</f>
        <v/>
      </c>
      <c r="F70" s="127" t="str">
        <f>IF($B69="","",IF($B69+1&gt;'Qredits maandlasten'!$C$4,"",EOMONTH(E70,0)))</f>
        <v/>
      </c>
      <c r="G70" s="128" t="str">
        <f>IF($B69="","",IF($B69+1&gt;'Qredits maandlasten'!$C$4,"",(_xlfn.DAYS(F70,E70)+1)/DAY(F70)))</f>
        <v/>
      </c>
      <c r="H70" s="129"/>
      <c r="I70" s="130" t="str">
        <f>IF($B69="","",IF($B69+1&gt;'Qredits maandlasten'!$C$4,"",I69-J69))</f>
        <v/>
      </c>
      <c r="J70" s="130" t="str">
        <f>IF($B69="","",IF($B69+1&gt;'Qredits maandlasten'!$C$4,"",IF(B69&lt;'Qredits maandlasten'!$C$11-1,0,IF('Qredits maandlasten'!$C$10=dropdowns!$A$93,'Qredits maandlasten'!$J$3,IF('Qredits maandlasten'!$C$10=dropdowns!$A$92,IFERROR('Qredits maandlasten'!$J$3-K70,0),0)))))</f>
        <v/>
      </c>
      <c r="K70" s="130" t="str">
        <f>IF($B69="","",IF($B69+1&gt;'Qredits maandlasten'!$C$4,"",G70*I70*'Qredits maandlasten'!$C$8))</f>
        <v/>
      </c>
      <c r="L70" s="130" t="str">
        <f t="shared" si="2"/>
        <v/>
      </c>
      <c r="M70" s="130" t="str">
        <f t="shared" si="0"/>
        <v/>
      </c>
      <c r="N70" s="129"/>
      <c r="O70" s="131" t="str">
        <f>IF($B70="","",'Qredits maandlasten'!$C$8)</f>
        <v/>
      </c>
      <c r="P70" s="131" t="str">
        <f>IF($B70="","",'Qredits maandlasten'!$C$8*(POWER(1+'Qredits maandlasten'!$C$8,$B70-1+1)))</f>
        <v/>
      </c>
      <c r="Q70" s="131" t="str">
        <f t="shared" si="3"/>
        <v/>
      </c>
      <c r="R70" s="129"/>
      <c r="S70" s="130" t="str">
        <f t="shared" si="1"/>
        <v/>
      </c>
      <c r="T70" s="130" t="str">
        <f>IF(S70="","",J70/(POWER(1+'Qredits maandlasten'!$C$8,$B70-1+1)))</f>
        <v/>
      </c>
      <c r="U70" s="132" t="str">
        <f t="shared" si="4"/>
        <v/>
      </c>
      <c r="V70" s="130" t="str">
        <f>IF($B70="","",K70/(POWER(1+'Qredits maandlasten'!$C$8,$B70-1+1)))</f>
        <v/>
      </c>
      <c r="W70" s="129"/>
    </row>
    <row r="71" spans="1:25" s="134" customFormat="1" x14ac:dyDescent="0.2">
      <c r="A71" s="125"/>
      <c r="B71" s="126" t="str">
        <f>IF($B70="","",IF($B70+1&gt;'Qredits maandlasten'!$C$4,"",Schema!B70+1))</f>
        <v/>
      </c>
      <c r="C71" s="127" t="str">
        <f>IF($B70="","",IF($B70+1&gt;'Qredits maandlasten'!$C$4,"",EOMONTH(C70,0)+1))</f>
        <v/>
      </c>
      <c r="D71" s="125"/>
      <c r="E71" s="127" t="str">
        <f>IF($B70="","",IF($B70+1&gt;'Qredits maandlasten'!$C$4,"",F70+1))</f>
        <v/>
      </c>
      <c r="F71" s="127" t="str">
        <f>IF($B70="","",IF($B70+1&gt;'Qredits maandlasten'!$C$4,"",EOMONTH(E71,0)))</f>
        <v/>
      </c>
      <c r="G71" s="128" t="str">
        <f>IF($B70="","",IF($B70+1&gt;'Qredits maandlasten'!$C$4,"",(_xlfn.DAYS(F71,E71)+1)/DAY(F71)))</f>
        <v/>
      </c>
      <c r="H71" s="129"/>
      <c r="I71" s="130" t="str">
        <f>IF($B70="","",IF($B70+1&gt;'Qredits maandlasten'!$C$4,"",I70-J70))</f>
        <v/>
      </c>
      <c r="J71" s="130" t="str">
        <f>IF($B70="","",IF($B70+1&gt;'Qredits maandlasten'!$C$4,"",IF(B70&lt;'Qredits maandlasten'!$C$11-1,0,IF('Qredits maandlasten'!$C$10=dropdowns!$A$93,'Qredits maandlasten'!$J$3,IF('Qredits maandlasten'!$C$10=dropdowns!$A$92,IFERROR('Qredits maandlasten'!$J$3-K71,0),0)))))</f>
        <v/>
      </c>
      <c r="K71" s="130" t="str">
        <f>IF($B70="","",IF($B70+1&gt;'Qredits maandlasten'!$C$4,"",G71*I71*'Qredits maandlasten'!$C$8))</f>
        <v/>
      </c>
      <c r="L71" s="130" t="str">
        <f t="shared" si="2"/>
        <v/>
      </c>
      <c r="M71" s="130" t="str">
        <f t="shared" si="0"/>
        <v/>
      </c>
      <c r="N71" s="129"/>
      <c r="O71" s="131" t="str">
        <f>IF($B71="","",'Qredits maandlasten'!$C$8)</f>
        <v/>
      </c>
      <c r="P71" s="131" t="str">
        <f>IF($B71="","",'Qredits maandlasten'!$C$8*(POWER(1+'Qredits maandlasten'!$C$8,$B71-1+1)))</f>
        <v/>
      </c>
      <c r="Q71" s="131" t="str">
        <f t="shared" si="3"/>
        <v/>
      </c>
      <c r="R71" s="129"/>
      <c r="S71" s="130" t="str">
        <f t="shared" si="1"/>
        <v/>
      </c>
      <c r="T71" s="130" t="str">
        <f>IF(S71="","",J71/(POWER(1+'Qredits maandlasten'!$C$8,$B71-1+1)))</f>
        <v/>
      </c>
      <c r="U71" s="132" t="str">
        <f t="shared" si="4"/>
        <v/>
      </c>
      <c r="V71" s="130" t="str">
        <f>IF($B71="","",K71/(POWER(1+'Qredits maandlasten'!$C$8,$B71-1+1)))</f>
        <v/>
      </c>
      <c r="W71" s="129"/>
    </row>
    <row r="72" spans="1:25" s="134" customFormat="1" x14ac:dyDescent="0.2">
      <c r="A72" s="125"/>
      <c r="B72" s="126" t="str">
        <f>IF($B71="","",IF($B71+1&gt;'Qredits maandlasten'!$C$4,"",Schema!B71+1))</f>
        <v/>
      </c>
      <c r="C72" s="127" t="str">
        <f>IF($B71="","",IF($B71+1&gt;'Qredits maandlasten'!$C$4,"",EOMONTH(C71,0)+1))</f>
        <v/>
      </c>
      <c r="D72" s="125"/>
      <c r="E72" s="127" t="str">
        <f>IF($B71="","",IF($B71+1&gt;'Qredits maandlasten'!$C$4,"",F71+1))</f>
        <v/>
      </c>
      <c r="F72" s="127" t="str">
        <f>IF($B71="","",IF($B71+1&gt;'Qredits maandlasten'!$C$4,"",EOMONTH(E72,0)))</f>
        <v/>
      </c>
      <c r="G72" s="128" t="str">
        <f>IF($B71="","",IF($B71+1&gt;'Qredits maandlasten'!$C$4,"",(_xlfn.DAYS(F72,E72)+1)/DAY(F72)))</f>
        <v/>
      </c>
      <c r="H72" s="129"/>
      <c r="I72" s="130" t="str">
        <f>IF($B71="","",IF($B71+1&gt;'Qredits maandlasten'!$C$4,"",I71-J71))</f>
        <v/>
      </c>
      <c r="J72" s="130" t="str">
        <f>IF($B71="","",IF($B71+1&gt;'Qredits maandlasten'!$C$4,"",IF(B71&lt;'Qredits maandlasten'!$C$11-1,0,IF('Qredits maandlasten'!$C$10=dropdowns!$A$93,'Qredits maandlasten'!$J$3,IF('Qredits maandlasten'!$C$10=dropdowns!$A$92,IFERROR('Qredits maandlasten'!$J$3-K72,0),0)))))</f>
        <v/>
      </c>
      <c r="K72" s="130" t="str">
        <f>IF($B71="","",IF($B71+1&gt;'Qredits maandlasten'!$C$4,"",G72*I72*'Qredits maandlasten'!$C$8))</f>
        <v/>
      </c>
      <c r="L72" s="130" t="str">
        <f t="shared" si="2"/>
        <v/>
      </c>
      <c r="M72" s="130" t="str">
        <f t="shared" si="0"/>
        <v/>
      </c>
      <c r="N72" s="129"/>
      <c r="O72" s="131" t="str">
        <f>IF($B72="","",'Qredits maandlasten'!$C$8)</f>
        <v/>
      </c>
      <c r="P72" s="131" t="str">
        <f>IF($B72="","",'Qredits maandlasten'!$C$8*(POWER(1+'Qredits maandlasten'!$C$8,$B72-1+1)))</f>
        <v/>
      </c>
      <c r="Q72" s="131" t="str">
        <f t="shared" si="3"/>
        <v/>
      </c>
      <c r="R72" s="129"/>
      <c r="S72" s="130" t="str">
        <f t="shared" si="1"/>
        <v/>
      </c>
      <c r="T72" s="130" t="str">
        <f>IF(S72="","",J72/(POWER(1+'Qredits maandlasten'!$C$8,$B72-1+1)))</f>
        <v/>
      </c>
      <c r="U72" s="132" t="str">
        <f t="shared" si="4"/>
        <v/>
      </c>
      <c r="V72" s="130" t="str">
        <f>IF($B72="","",K72/(POWER(1+'Qredits maandlasten'!$C$8,$B72-1+1)))</f>
        <v/>
      </c>
      <c r="W72" s="129"/>
    </row>
    <row r="73" spans="1:25" s="134" customFormat="1" x14ac:dyDescent="0.2">
      <c r="A73" s="125"/>
      <c r="B73" s="126" t="str">
        <f>IF($B72="","",IF($B72+1&gt;'Qredits maandlasten'!$C$4,"",Schema!B72+1))</f>
        <v/>
      </c>
      <c r="C73" s="127" t="str">
        <f>IF($B72="","",IF($B72+1&gt;'Qredits maandlasten'!$C$4,"",EOMONTH(C72,0)+1))</f>
        <v/>
      </c>
      <c r="D73" s="125"/>
      <c r="E73" s="127" t="str">
        <f>IF($B72="","",IF($B72+1&gt;'Qredits maandlasten'!$C$4,"",F72+1))</f>
        <v/>
      </c>
      <c r="F73" s="127" t="str">
        <f>IF($B72="","",IF($B72+1&gt;'Qredits maandlasten'!$C$4,"",EOMONTH(E73,0)))</f>
        <v/>
      </c>
      <c r="G73" s="128" t="str">
        <f>IF($B72="","",IF($B72+1&gt;'Qredits maandlasten'!$C$4,"",(_xlfn.DAYS(F73,E73)+1)/DAY(F73)))</f>
        <v/>
      </c>
      <c r="H73" s="129"/>
      <c r="I73" s="130" t="str">
        <f>IF($B72="","",IF($B72+1&gt;'Qredits maandlasten'!$C$4,"",I72-J72))</f>
        <v/>
      </c>
      <c r="J73" s="130" t="str">
        <f>IF($B72="","",IF($B72+1&gt;'Qredits maandlasten'!$C$4,"",IF(B72&lt;'Qredits maandlasten'!$C$11-1,0,IF('Qredits maandlasten'!$C$10=dropdowns!$A$93,'Qredits maandlasten'!$J$3,IF('Qredits maandlasten'!$C$10=dropdowns!$A$92,IFERROR('Qredits maandlasten'!$J$3-K73,0),0)))))</f>
        <v/>
      </c>
      <c r="K73" s="130" t="str">
        <f>IF($B72="","",IF($B72+1&gt;'Qredits maandlasten'!$C$4,"",G73*I73*'Qredits maandlasten'!$C$8))</f>
        <v/>
      </c>
      <c r="L73" s="130" t="str">
        <f t="shared" si="2"/>
        <v/>
      </c>
      <c r="M73" s="130" t="str">
        <f t="shared" si="0"/>
        <v/>
      </c>
      <c r="N73" s="129"/>
      <c r="O73" s="131" t="str">
        <f>IF($B73="","",'Qredits maandlasten'!$C$8)</f>
        <v/>
      </c>
      <c r="P73" s="131" t="str">
        <f>IF($B73="","",'Qredits maandlasten'!$C$8*(POWER(1+'Qredits maandlasten'!$C$8,$B73-1+1)))</f>
        <v/>
      </c>
      <c r="Q73" s="131" t="str">
        <f t="shared" si="3"/>
        <v/>
      </c>
      <c r="R73" s="129"/>
      <c r="S73" s="130" t="str">
        <f t="shared" si="1"/>
        <v/>
      </c>
      <c r="T73" s="130" t="str">
        <f>IF(S73="","",J73/(POWER(1+'Qredits maandlasten'!$C$8,$B73-1+1)))</f>
        <v/>
      </c>
      <c r="U73" s="132" t="str">
        <f t="shared" si="4"/>
        <v/>
      </c>
      <c r="V73" s="130" t="str">
        <f>IF($B73="","",K73/(POWER(1+'Qredits maandlasten'!$C$8,$B73-1+1)))</f>
        <v/>
      </c>
      <c r="W73" s="129"/>
    </row>
    <row r="74" spans="1:25" s="134" customFormat="1" x14ac:dyDescent="0.2">
      <c r="A74" s="125"/>
      <c r="B74" s="126" t="str">
        <f>IF($B73="","",IF($B73+1&gt;'Qredits maandlasten'!$C$4,"",Schema!B73+1))</f>
        <v/>
      </c>
      <c r="C74" s="127" t="str">
        <f>IF($B73="","",IF($B73+1&gt;'Qredits maandlasten'!$C$4,"",EOMONTH(C73,0)+1))</f>
        <v/>
      </c>
      <c r="D74" s="125"/>
      <c r="E74" s="127" t="str">
        <f>IF($B73="","",IF($B73+1&gt;'Qredits maandlasten'!$C$4,"",F73+1))</f>
        <v/>
      </c>
      <c r="F74" s="127" t="str">
        <f>IF($B73="","",IF($B73+1&gt;'Qredits maandlasten'!$C$4,"",EOMONTH(E74,0)))</f>
        <v/>
      </c>
      <c r="G74" s="128" t="str">
        <f>IF($B73="","",IF($B73+1&gt;'Qredits maandlasten'!$C$4,"",(_xlfn.DAYS(F74,E74)+1)/DAY(F74)))</f>
        <v/>
      </c>
      <c r="H74" s="129"/>
      <c r="I74" s="130" t="str">
        <f>IF($B73="","",IF($B73+1&gt;'Qredits maandlasten'!$C$4,"",I73-J73))</f>
        <v/>
      </c>
      <c r="J74" s="130" t="str">
        <f>IF($B73="","",IF($B73+1&gt;'Qredits maandlasten'!$C$4,"",IF(B73&lt;'Qredits maandlasten'!$C$11-1,0,IF('Qredits maandlasten'!$C$10=dropdowns!$A$93,'Qredits maandlasten'!$J$3,IF('Qredits maandlasten'!$C$10=dropdowns!$A$92,IFERROR('Qredits maandlasten'!$J$3-K74,0),0)))))</f>
        <v/>
      </c>
      <c r="K74" s="130" t="str">
        <f>IF($B73="","",IF($B73+1&gt;'Qredits maandlasten'!$C$4,"",G74*I74*'Qredits maandlasten'!$C$8))</f>
        <v/>
      </c>
      <c r="L74" s="130" t="str">
        <f t="shared" si="2"/>
        <v/>
      </c>
      <c r="M74" s="130" t="str">
        <f t="shared" ref="M74:M137" si="5">IF(S74="","",-K74-J74)</f>
        <v/>
      </c>
      <c r="N74" s="129"/>
      <c r="O74" s="131" t="str">
        <f>IF($B74="","",'Qredits maandlasten'!$C$8)</f>
        <v/>
      </c>
      <c r="P74" s="131" t="str">
        <f>IF($B74="","",'Qredits maandlasten'!$C$8*(POWER(1+'Qredits maandlasten'!$C$8,$B74-1+1)))</f>
        <v/>
      </c>
      <c r="Q74" s="131" t="str">
        <f t="shared" si="3"/>
        <v/>
      </c>
      <c r="R74" s="129"/>
      <c r="S74" s="130" t="str">
        <f t="shared" ref="S74:S137" si="6">IF(B74="","",IF(S73-T73&lt;0,"",S73-T73))</f>
        <v/>
      </c>
      <c r="T74" s="130" t="str">
        <f>IF(S74="","",J74/(POWER(1+'Qredits maandlasten'!$C$8,$B74-1+1)))</f>
        <v/>
      </c>
      <c r="U74" s="132" t="str">
        <f t="shared" si="4"/>
        <v/>
      </c>
      <c r="V74" s="130" t="str">
        <f>IF($B74="","",K74/(POWER(1+'Qredits maandlasten'!$C$8,$B74-1+1)))</f>
        <v/>
      </c>
      <c r="W74" s="129"/>
    </row>
    <row r="75" spans="1:25" s="134" customFormat="1" x14ac:dyDescent="0.2">
      <c r="A75" s="125"/>
      <c r="B75" s="126" t="str">
        <f>IF($B74="","",IF($B74+1&gt;'Qredits maandlasten'!$C$4,"",Schema!B74+1))</f>
        <v/>
      </c>
      <c r="C75" s="127" t="str">
        <f>IF($B74="","",IF($B74+1&gt;'Qredits maandlasten'!$C$4,"",EOMONTH(C74,0)+1))</f>
        <v/>
      </c>
      <c r="D75" s="125"/>
      <c r="E75" s="127" t="str">
        <f>IF($B74="","",IF($B74+1&gt;'Qredits maandlasten'!$C$4,"",F74+1))</f>
        <v/>
      </c>
      <c r="F75" s="127" t="str">
        <f>IF($B74="","",IF($B74+1&gt;'Qredits maandlasten'!$C$4,"",EOMONTH(E75,0)))</f>
        <v/>
      </c>
      <c r="G75" s="128" t="str">
        <f>IF($B74="","",IF($B74+1&gt;'Qredits maandlasten'!$C$4,"",(_xlfn.DAYS(F75,E75)+1)/DAY(F75)))</f>
        <v/>
      </c>
      <c r="H75" s="129"/>
      <c r="I75" s="130" t="str">
        <f>IF($B74="","",IF($B74+1&gt;'Qredits maandlasten'!$C$4,"",I74-J74))</f>
        <v/>
      </c>
      <c r="J75" s="130" t="str">
        <f>IF($B74="","",IF($B74+1&gt;'Qredits maandlasten'!$C$4,"",IF(B74&lt;'Qredits maandlasten'!$C$11-1,0,IF('Qredits maandlasten'!$C$10=dropdowns!$A$93,'Qredits maandlasten'!$J$3,IF('Qredits maandlasten'!$C$10=dropdowns!$A$92,IFERROR('Qredits maandlasten'!$J$3-K75,0),0)))))</f>
        <v/>
      </c>
      <c r="K75" s="130" t="str">
        <f>IF($B74="","",IF($B74+1&gt;'Qredits maandlasten'!$C$4,"",G75*I75*'Qredits maandlasten'!$C$8))</f>
        <v/>
      </c>
      <c r="L75" s="130" t="str">
        <f t="shared" ref="L75:L138" si="7">IF(S75="","",-K75-J75)</f>
        <v/>
      </c>
      <c r="M75" s="130" t="str">
        <f t="shared" si="5"/>
        <v/>
      </c>
      <c r="N75" s="129"/>
      <c r="O75" s="131" t="str">
        <f>IF($B75="","",'Qredits maandlasten'!$C$8)</f>
        <v/>
      </c>
      <c r="P75" s="131" t="str">
        <f>IF($B75="","",'Qredits maandlasten'!$C$8*(POWER(1+'Qredits maandlasten'!$C$8,$B75-1+1)))</f>
        <v/>
      </c>
      <c r="Q75" s="131" t="str">
        <f t="shared" ref="Q75:Q138" si="8">IF($B75="","",IFERROR(J75/T75-1,0))</f>
        <v/>
      </c>
      <c r="R75" s="129"/>
      <c r="S75" s="130" t="str">
        <f t="shared" si="6"/>
        <v/>
      </c>
      <c r="T75" s="130" t="str">
        <f>IF(S75="","",J75/(POWER(1+'Qredits maandlasten'!$C$8,$B75-1+1)))</f>
        <v/>
      </c>
      <c r="U75" s="132" t="str">
        <f t="shared" ref="U75:U138" si="9">IF(S75="","",T75+V75)</f>
        <v/>
      </c>
      <c r="V75" s="130" t="str">
        <f>IF($B75="","",K75/(POWER(1+'Qredits maandlasten'!$C$8,$B75-1+1)))</f>
        <v/>
      </c>
      <c r="W75" s="129"/>
    </row>
    <row r="76" spans="1:25" s="134" customFormat="1" x14ac:dyDescent="0.2">
      <c r="A76" s="125"/>
      <c r="B76" s="126" t="str">
        <f>IF($B75="","",IF($B75+1&gt;'Qredits maandlasten'!$C$4,"",Schema!B75+1))</f>
        <v/>
      </c>
      <c r="C76" s="127" t="str">
        <f>IF($B75="","",IF($B75+1&gt;'Qredits maandlasten'!$C$4,"",EOMONTH(C75,0)+1))</f>
        <v/>
      </c>
      <c r="D76" s="125"/>
      <c r="E76" s="127" t="str">
        <f>IF($B75="","",IF($B75+1&gt;'Qredits maandlasten'!$C$4,"",F75+1))</f>
        <v/>
      </c>
      <c r="F76" s="127" t="str">
        <f>IF($B75="","",IF($B75+1&gt;'Qredits maandlasten'!$C$4,"",EOMONTH(E76,0)))</f>
        <v/>
      </c>
      <c r="G76" s="128" t="str">
        <f>IF($B75="","",IF($B75+1&gt;'Qredits maandlasten'!$C$4,"",(_xlfn.DAYS(F76,E76)+1)/DAY(F76)))</f>
        <v/>
      </c>
      <c r="H76" s="129"/>
      <c r="I76" s="130" t="str">
        <f>IF($B75="","",IF($B75+1&gt;'Qredits maandlasten'!$C$4,"",I75-J75))</f>
        <v/>
      </c>
      <c r="J76" s="130" t="str">
        <f>IF($B75="","",IF($B75+1&gt;'Qredits maandlasten'!$C$4,"",IF(B75&lt;'Qredits maandlasten'!$C$11-1,0,IF('Qredits maandlasten'!$C$10=dropdowns!$A$93,'Qredits maandlasten'!$J$3,IF('Qredits maandlasten'!$C$10=dropdowns!$A$92,IFERROR('Qredits maandlasten'!$J$3-K76,0),0)))))</f>
        <v/>
      </c>
      <c r="K76" s="130" t="str">
        <f>IF($B75="","",IF($B75+1&gt;'Qredits maandlasten'!$C$4,"",G76*I76*'Qredits maandlasten'!$C$8))</f>
        <v/>
      </c>
      <c r="L76" s="130" t="str">
        <f t="shared" si="7"/>
        <v/>
      </c>
      <c r="M76" s="130" t="str">
        <f t="shared" si="5"/>
        <v/>
      </c>
      <c r="N76" s="129"/>
      <c r="O76" s="131" t="str">
        <f>IF($B76="","",'Qredits maandlasten'!$C$8)</f>
        <v/>
      </c>
      <c r="P76" s="131" t="str">
        <f>IF($B76="","",'Qredits maandlasten'!$C$8*(POWER(1+'Qredits maandlasten'!$C$8,$B76-1+1)))</f>
        <v/>
      </c>
      <c r="Q76" s="131" t="str">
        <f t="shared" si="8"/>
        <v/>
      </c>
      <c r="R76" s="129"/>
      <c r="S76" s="130" t="str">
        <f t="shared" si="6"/>
        <v/>
      </c>
      <c r="T76" s="130" t="str">
        <f>IF(S76="","",J76/(POWER(1+'Qredits maandlasten'!$C$8,$B76-1+1)))</f>
        <v/>
      </c>
      <c r="U76" s="132" t="str">
        <f t="shared" si="9"/>
        <v/>
      </c>
      <c r="V76" s="130" t="str">
        <f>IF($B76="","",K76/(POWER(1+'Qredits maandlasten'!$C$8,$B76-1+1)))</f>
        <v/>
      </c>
      <c r="W76" s="129"/>
    </row>
    <row r="77" spans="1:25" s="134" customFormat="1" x14ac:dyDescent="0.2">
      <c r="A77" s="125"/>
      <c r="B77" s="126" t="str">
        <f>IF($B76="","",IF($B76+1&gt;'Qredits maandlasten'!$C$4,"",Schema!B76+1))</f>
        <v/>
      </c>
      <c r="C77" s="127" t="str">
        <f>IF($B76="","",IF($B76+1&gt;'Qredits maandlasten'!$C$4,"",EOMONTH(C76,0)+1))</f>
        <v/>
      </c>
      <c r="D77" s="125"/>
      <c r="E77" s="127" t="str">
        <f>IF($B76="","",IF($B76+1&gt;'Qredits maandlasten'!$C$4,"",F76+1))</f>
        <v/>
      </c>
      <c r="F77" s="127" t="str">
        <f>IF($B76="","",IF($B76+1&gt;'Qredits maandlasten'!$C$4,"",EOMONTH(E77,0)))</f>
        <v/>
      </c>
      <c r="G77" s="128" t="str">
        <f>IF($B76="","",IF($B76+1&gt;'Qredits maandlasten'!$C$4,"",(_xlfn.DAYS(F77,E77)+1)/DAY(F77)))</f>
        <v/>
      </c>
      <c r="H77" s="129"/>
      <c r="I77" s="130" t="str">
        <f>IF($B76="","",IF($B76+1&gt;'Qredits maandlasten'!$C$4,"",I76-J76))</f>
        <v/>
      </c>
      <c r="J77" s="130" t="str">
        <f>IF($B76="","",IF($B76+1&gt;'Qredits maandlasten'!$C$4,"",IF(B76&lt;'Qredits maandlasten'!$C$11-1,0,IF('Qredits maandlasten'!$C$10=dropdowns!$A$93,'Qredits maandlasten'!$J$3,IF('Qredits maandlasten'!$C$10=dropdowns!$A$92,IFERROR('Qredits maandlasten'!$J$3-K77,0),0)))))</f>
        <v/>
      </c>
      <c r="K77" s="130" t="str">
        <f>IF($B76="","",IF($B76+1&gt;'Qredits maandlasten'!$C$4,"",G77*I77*'Qredits maandlasten'!$C$8))</f>
        <v/>
      </c>
      <c r="L77" s="130" t="str">
        <f t="shared" si="7"/>
        <v/>
      </c>
      <c r="M77" s="130" t="str">
        <f t="shared" si="5"/>
        <v/>
      </c>
      <c r="N77" s="129"/>
      <c r="O77" s="131" t="str">
        <f>IF($B77="","",'Qredits maandlasten'!$C$8)</f>
        <v/>
      </c>
      <c r="P77" s="131" t="str">
        <f>IF($B77="","",'Qredits maandlasten'!$C$8*(POWER(1+'Qredits maandlasten'!$C$8,$B77-1+1)))</f>
        <v/>
      </c>
      <c r="Q77" s="131" t="str">
        <f t="shared" si="8"/>
        <v/>
      </c>
      <c r="R77" s="129"/>
      <c r="S77" s="130" t="str">
        <f t="shared" si="6"/>
        <v/>
      </c>
      <c r="T77" s="130" t="str">
        <f>IF(S77="","",J77/(POWER(1+'Qredits maandlasten'!$C$8,$B77-1+1)))</f>
        <v/>
      </c>
      <c r="U77" s="132" t="str">
        <f t="shared" si="9"/>
        <v/>
      </c>
      <c r="V77" s="130" t="str">
        <f>IF($B77="","",K77/(POWER(1+'Qredits maandlasten'!$C$8,$B77-1+1)))</f>
        <v/>
      </c>
      <c r="W77" s="129"/>
    </row>
    <row r="78" spans="1:25" s="134" customFormat="1" x14ac:dyDescent="0.2">
      <c r="A78" s="125"/>
      <c r="B78" s="126" t="str">
        <f>IF($B77="","",IF($B77+1&gt;'Qredits maandlasten'!$C$4,"",Schema!B77+1))</f>
        <v/>
      </c>
      <c r="C78" s="127" t="str">
        <f>IF($B77="","",IF($B77+1&gt;'Qredits maandlasten'!$C$4,"",EOMONTH(C77,0)+1))</f>
        <v/>
      </c>
      <c r="D78" s="125"/>
      <c r="E78" s="127" t="str">
        <f>IF($B77="","",IF($B77+1&gt;'Qredits maandlasten'!$C$4,"",F77+1))</f>
        <v/>
      </c>
      <c r="F78" s="127" t="str">
        <f>IF($B77="","",IF($B77+1&gt;'Qredits maandlasten'!$C$4,"",EOMONTH(E78,0)))</f>
        <v/>
      </c>
      <c r="G78" s="128" t="str">
        <f>IF($B77="","",IF($B77+1&gt;'Qredits maandlasten'!$C$4,"",(_xlfn.DAYS(F78,E78)+1)/DAY(F78)))</f>
        <v/>
      </c>
      <c r="H78" s="129"/>
      <c r="I78" s="130" t="str">
        <f>IF($B77="","",IF($B77+1&gt;'Qredits maandlasten'!$C$4,"",I77-J77))</f>
        <v/>
      </c>
      <c r="J78" s="130" t="str">
        <f>IF($B77="","",IF($B77+1&gt;'Qredits maandlasten'!$C$4,"",IF(B77&lt;'Qredits maandlasten'!$C$11-1,0,IF('Qredits maandlasten'!$C$10=dropdowns!$A$93,'Qredits maandlasten'!$J$3,IF('Qredits maandlasten'!$C$10=dropdowns!$A$92,IFERROR('Qredits maandlasten'!$J$3-K78,0),0)))))</f>
        <v/>
      </c>
      <c r="K78" s="130" t="str">
        <f>IF($B77="","",IF($B77+1&gt;'Qredits maandlasten'!$C$4,"",G78*I78*'Qredits maandlasten'!$C$8))</f>
        <v/>
      </c>
      <c r="L78" s="130" t="str">
        <f t="shared" si="7"/>
        <v/>
      </c>
      <c r="M78" s="130" t="str">
        <f t="shared" si="5"/>
        <v/>
      </c>
      <c r="N78" s="129"/>
      <c r="O78" s="131" t="str">
        <f>IF($B78="","",'Qredits maandlasten'!$C$8)</f>
        <v/>
      </c>
      <c r="P78" s="131" t="str">
        <f>IF($B78="","",'Qredits maandlasten'!$C$8*(POWER(1+'Qredits maandlasten'!$C$8,$B78-1+1)))</f>
        <v/>
      </c>
      <c r="Q78" s="131" t="str">
        <f t="shared" si="8"/>
        <v/>
      </c>
      <c r="R78" s="129"/>
      <c r="S78" s="130" t="str">
        <f t="shared" si="6"/>
        <v/>
      </c>
      <c r="T78" s="130" t="str">
        <f>IF(S78="","",J78/(POWER(1+'Qredits maandlasten'!$C$8,$B78-1+1)))</f>
        <v/>
      </c>
      <c r="U78" s="132" t="str">
        <f t="shared" si="9"/>
        <v/>
      </c>
      <c r="V78" s="130" t="str">
        <f>IF($B78="","",K78/(POWER(1+'Qredits maandlasten'!$C$8,$B78-1+1)))</f>
        <v/>
      </c>
      <c r="W78" s="129"/>
    </row>
    <row r="79" spans="1:25" s="134" customFormat="1" x14ac:dyDescent="0.2">
      <c r="A79" s="125"/>
      <c r="B79" s="126" t="str">
        <f>IF($B78="","",IF($B78+1&gt;'Qredits maandlasten'!$C$4,"",Schema!B78+1))</f>
        <v/>
      </c>
      <c r="C79" s="127" t="str">
        <f>IF($B78="","",IF($B78+1&gt;'Qredits maandlasten'!$C$4,"",EOMONTH(C78,0)+1))</f>
        <v/>
      </c>
      <c r="D79" s="125"/>
      <c r="E79" s="127" t="str">
        <f>IF($B78="","",IF($B78+1&gt;'Qredits maandlasten'!$C$4,"",F78+1))</f>
        <v/>
      </c>
      <c r="F79" s="127" t="str">
        <f>IF($B78="","",IF($B78+1&gt;'Qredits maandlasten'!$C$4,"",EOMONTH(E79,0)))</f>
        <v/>
      </c>
      <c r="G79" s="128" t="str">
        <f>IF($B78="","",IF($B78+1&gt;'Qredits maandlasten'!$C$4,"",(_xlfn.DAYS(F79,E79)+1)/DAY(F79)))</f>
        <v/>
      </c>
      <c r="H79" s="129"/>
      <c r="I79" s="130" t="str">
        <f>IF($B78="","",IF($B78+1&gt;'Qredits maandlasten'!$C$4,"",I78-J78))</f>
        <v/>
      </c>
      <c r="J79" s="130" t="str">
        <f>IF($B78="","",IF($B78+1&gt;'Qredits maandlasten'!$C$4,"",IF(B78&lt;'Qredits maandlasten'!$C$11-1,0,IF('Qredits maandlasten'!$C$10=dropdowns!$A$93,'Qredits maandlasten'!$J$3,IF('Qredits maandlasten'!$C$10=dropdowns!$A$92,IFERROR('Qredits maandlasten'!$J$3-K79,0),0)))))</f>
        <v/>
      </c>
      <c r="K79" s="130" t="str">
        <f>IF($B78="","",IF($B78+1&gt;'Qredits maandlasten'!$C$4,"",G79*I79*'Qredits maandlasten'!$C$8))</f>
        <v/>
      </c>
      <c r="L79" s="130" t="str">
        <f t="shared" si="7"/>
        <v/>
      </c>
      <c r="M79" s="130" t="str">
        <f t="shared" si="5"/>
        <v/>
      </c>
      <c r="N79" s="129"/>
      <c r="O79" s="131" t="str">
        <f>IF($B79="","",'Qredits maandlasten'!$C$8)</f>
        <v/>
      </c>
      <c r="P79" s="131" t="str">
        <f>IF($B79="","",'Qredits maandlasten'!$C$8*(POWER(1+'Qredits maandlasten'!$C$8,$B79-1+1)))</f>
        <v/>
      </c>
      <c r="Q79" s="131" t="str">
        <f t="shared" si="8"/>
        <v/>
      </c>
      <c r="R79" s="129"/>
      <c r="S79" s="130" t="str">
        <f t="shared" si="6"/>
        <v/>
      </c>
      <c r="T79" s="130" t="str">
        <f>IF(S79="","",J79/(POWER(1+'Qredits maandlasten'!$C$8,$B79-1+1)))</f>
        <v/>
      </c>
      <c r="U79" s="132" t="str">
        <f t="shared" si="9"/>
        <v/>
      </c>
      <c r="V79" s="130" t="str">
        <f>IF($B79="","",K79/(POWER(1+'Qredits maandlasten'!$C$8,$B79-1+1)))</f>
        <v/>
      </c>
      <c r="W79" s="129"/>
    </row>
    <row r="80" spans="1:25" s="134" customFormat="1" x14ac:dyDescent="0.2">
      <c r="A80" s="125"/>
      <c r="B80" s="126" t="str">
        <f>IF($B79="","",IF($B79+1&gt;'Qredits maandlasten'!$C$4,"",Schema!B79+1))</f>
        <v/>
      </c>
      <c r="C80" s="127" t="str">
        <f>IF($B79="","",IF($B79+1&gt;'Qredits maandlasten'!$C$4,"",EOMONTH(C79,0)+1))</f>
        <v/>
      </c>
      <c r="D80" s="125"/>
      <c r="E80" s="127" t="str">
        <f>IF($B79="","",IF($B79+1&gt;'Qredits maandlasten'!$C$4,"",F79+1))</f>
        <v/>
      </c>
      <c r="F80" s="127" t="str">
        <f>IF($B79="","",IF($B79+1&gt;'Qredits maandlasten'!$C$4,"",EOMONTH(E80,0)))</f>
        <v/>
      </c>
      <c r="G80" s="128" t="str">
        <f>IF($B79="","",IF($B79+1&gt;'Qredits maandlasten'!$C$4,"",(_xlfn.DAYS(F80,E80)+1)/DAY(F80)))</f>
        <v/>
      </c>
      <c r="H80" s="129"/>
      <c r="I80" s="130" t="str">
        <f>IF($B79="","",IF($B79+1&gt;'Qredits maandlasten'!$C$4,"",I79-J79))</f>
        <v/>
      </c>
      <c r="J80" s="130" t="str">
        <f>IF($B79="","",IF($B79+1&gt;'Qredits maandlasten'!$C$4,"",IF(B79&lt;'Qredits maandlasten'!$C$11-1,0,IF('Qredits maandlasten'!$C$10=dropdowns!$A$93,'Qredits maandlasten'!$J$3,IF('Qredits maandlasten'!$C$10=dropdowns!$A$92,IFERROR('Qredits maandlasten'!$J$3-K80,0),0)))))</f>
        <v/>
      </c>
      <c r="K80" s="130" t="str">
        <f>IF($B79="","",IF($B79+1&gt;'Qredits maandlasten'!$C$4,"",G80*I80*'Qredits maandlasten'!$C$8))</f>
        <v/>
      </c>
      <c r="L80" s="130" t="str">
        <f t="shared" si="7"/>
        <v/>
      </c>
      <c r="M80" s="130" t="str">
        <f t="shared" si="5"/>
        <v/>
      </c>
      <c r="N80" s="129"/>
      <c r="O80" s="131" t="str">
        <f>IF($B80="","",'Qredits maandlasten'!$C$8)</f>
        <v/>
      </c>
      <c r="P80" s="131" t="str">
        <f>IF($B80="","",'Qredits maandlasten'!$C$8*(POWER(1+'Qredits maandlasten'!$C$8,$B80-1+1)))</f>
        <v/>
      </c>
      <c r="Q80" s="131" t="str">
        <f t="shared" si="8"/>
        <v/>
      </c>
      <c r="R80" s="129"/>
      <c r="S80" s="130" t="str">
        <f t="shared" si="6"/>
        <v/>
      </c>
      <c r="T80" s="130" t="str">
        <f>IF(S80="","",J80/(POWER(1+'Qredits maandlasten'!$C$8,$B80-1+1)))</f>
        <v/>
      </c>
      <c r="U80" s="132" t="str">
        <f t="shared" si="9"/>
        <v/>
      </c>
      <c r="V80" s="130" t="str">
        <f>IF($B80="","",K80/(POWER(1+'Qredits maandlasten'!$C$8,$B80-1+1)))</f>
        <v/>
      </c>
      <c r="W80" s="129"/>
    </row>
    <row r="81" spans="1:23" s="134" customFormat="1" x14ac:dyDescent="0.2">
      <c r="A81" s="125"/>
      <c r="B81" s="126" t="str">
        <f>IF($B80="","",IF($B80+1&gt;'Qredits maandlasten'!$C$4,"",Schema!B80+1))</f>
        <v/>
      </c>
      <c r="C81" s="127" t="str">
        <f>IF($B80="","",IF($B80+1&gt;'Qredits maandlasten'!$C$4,"",EOMONTH(C80,0)+1))</f>
        <v/>
      </c>
      <c r="D81" s="125"/>
      <c r="E81" s="127" t="str">
        <f>IF($B80="","",IF($B80+1&gt;'Qredits maandlasten'!$C$4,"",F80+1))</f>
        <v/>
      </c>
      <c r="F81" s="127" t="str">
        <f>IF($B80="","",IF($B80+1&gt;'Qredits maandlasten'!$C$4,"",EOMONTH(E81,0)))</f>
        <v/>
      </c>
      <c r="G81" s="128" t="str">
        <f>IF($B80="","",IF($B80+1&gt;'Qredits maandlasten'!$C$4,"",(_xlfn.DAYS(F81,E81)+1)/DAY(F81)))</f>
        <v/>
      </c>
      <c r="H81" s="129"/>
      <c r="I81" s="130" t="str">
        <f>IF($B80="","",IF($B80+1&gt;'Qredits maandlasten'!$C$4,"",I80-J80))</f>
        <v/>
      </c>
      <c r="J81" s="130" t="str">
        <f>IF($B80="","",IF($B80+1&gt;'Qredits maandlasten'!$C$4,"",IF(B80&lt;'Qredits maandlasten'!$C$11-1,0,IF('Qredits maandlasten'!$C$10=dropdowns!$A$93,'Qredits maandlasten'!$J$3,IF('Qredits maandlasten'!$C$10=dropdowns!$A$92,IFERROR('Qredits maandlasten'!$J$3-K81,0),0)))))</f>
        <v/>
      </c>
      <c r="K81" s="130" t="str">
        <f>IF($B80="","",IF($B80+1&gt;'Qredits maandlasten'!$C$4,"",G81*I81*'Qredits maandlasten'!$C$8))</f>
        <v/>
      </c>
      <c r="L81" s="130" t="str">
        <f t="shared" si="7"/>
        <v/>
      </c>
      <c r="M81" s="130" t="str">
        <f t="shared" si="5"/>
        <v/>
      </c>
      <c r="N81" s="129"/>
      <c r="O81" s="131" t="str">
        <f>IF($B81="","",'Qredits maandlasten'!$C$8)</f>
        <v/>
      </c>
      <c r="P81" s="131" t="str">
        <f>IF($B81="","",'Qredits maandlasten'!$C$8*(POWER(1+'Qredits maandlasten'!$C$8,$B81-1+1)))</f>
        <v/>
      </c>
      <c r="Q81" s="131" t="str">
        <f t="shared" si="8"/>
        <v/>
      </c>
      <c r="R81" s="129"/>
      <c r="S81" s="130" t="str">
        <f t="shared" si="6"/>
        <v/>
      </c>
      <c r="T81" s="130" t="str">
        <f>IF(S81="","",J81/(POWER(1+'Qredits maandlasten'!$C$8,$B81-1+1)))</f>
        <v/>
      </c>
      <c r="U81" s="132" t="str">
        <f t="shared" si="9"/>
        <v/>
      </c>
      <c r="V81" s="130" t="str">
        <f>IF($B81="","",K81/(POWER(1+'Qredits maandlasten'!$C$8,$B81-1+1)))</f>
        <v/>
      </c>
      <c r="W81" s="129"/>
    </row>
    <row r="82" spans="1:23" s="134" customFormat="1" x14ac:dyDescent="0.2">
      <c r="A82" s="125"/>
      <c r="B82" s="126" t="str">
        <f>IF($B81="","",IF($B81+1&gt;'Qredits maandlasten'!$C$4,"",Schema!B81+1))</f>
        <v/>
      </c>
      <c r="C82" s="127" t="str">
        <f>IF($B81="","",IF($B81+1&gt;'Qredits maandlasten'!$C$4,"",EOMONTH(C81,0)+1))</f>
        <v/>
      </c>
      <c r="D82" s="125"/>
      <c r="E82" s="127" t="str">
        <f>IF($B81="","",IF($B81+1&gt;'Qredits maandlasten'!$C$4,"",F81+1))</f>
        <v/>
      </c>
      <c r="F82" s="127" t="str">
        <f>IF($B81="","",IF($B81+1&gt;'Qredits maandlasten'!$C$4,"",EOMONTH(E82,0)))</f>
        <v/>
      </c>
      <c r="G82" s="128" t="str">
        <f>IF($B81="","",IF($B81+1&gt;'Qredits maandlasten'!$C$4,"",(_xlfn.DAYS(F82,E82)+1)/DAY(F82)))</f>
        <v/>
      </c>
      <c r="H82" s="129"/>
      <c r="I82" s="130" t="str">
        <f>IF($B81="","",IF($B81+1&gt;'Qredits maandlasten'!$C$4,"",I81-J81))</f>
        <v/>
      </c>
      <c r="J82" s="130" t="str">
        <f>IF($B81="","",IF($B81+1&gt;'Qredits maandlasten'!$C$4,"",IF(B81&lt;'Qredits maandlasten'!$C$11-1,0,IF('Qredits maandlasten'!$C$10=dropdowns!$A$93,'Qredits maandlasten'!$J$3,IF('Qredits maandlasten'!$C$10=dropdowns!$A$92,IFERROR('Qredits maandlasten'!$J$3-K82,0),0)))))</f>
        <v/>
      </c>
      <c r="K82" s="130" t="str">
        <f>IF($B81="","",IF($B81+1&gt;'Qredits maandlasten'!$C$4,"",G82*I82*'Qredits maandlasten'!$C$8))</f>
        <v/>
      </c>
      <c r="L82" s="130" t="str">
        <f t="shared" si="7"/>
        <v/>
      </c>
      <c r="M82" s="130" t="str">
        <f t="shared" si="5"/>
        <v/>
      </c>
      <c r="N82" s="129"/>
      <c r="O82" s="131" t="str">
        <f>IF($B82="","",'Qredits maandlasten'!$C$8)</f>
        <v/>
      </c>
      <c r="P82" s="131" t="str">
        <f>IF($B82="","",'Qredits maandlasten'!$C$8*(POWER(1+'Qredits maandlasten'!$C$8,$B82-1+1)))</f>
        <v/>
      </c>
      <c r="Q82" s="131" t="str">
        <f t="shared" si="8"/>
        <v/>
      </c>
      <c r="R82" s="129"/>
      <c r="S82" s="130" t="str">
        <f t="shared" si="6"/>
        <v/>
      </c>
      <c r="T82" s="130" t="str">
        <f>IF(S82="","",J82/(POWER(1+'Qredits maandlasten'!$C$8,$B82-1+1)))</f>
        <v/>
      </c>
      <c r="U82" s="132" t="str">
        <f t="shared" si="9"/>
        <v/>
      </c>
      <c r="V82" s="130" t="str">
        <f>IF($B82="","",K82/(POWER(1+'Qredits maandlasten'!$C$8,$B82-1+1)))</f>
        <v/>
      </c>
      <c r="W82" s="129"/>
    </row>
    <row r="83" spans="1:23" s="134" customFormat="1" x14ac:dyDescent="0.2">
      <c r="A83" s="125"/>
      <c r="B83" s="126" t="str">
        <f>IF($B82="","",IF($B82+1&gt;'Qredits maandlasten'!$C$4,"",Schema!B82+1))</f>
        <v/>
      </c>
      <c r="C83" s="127" t="str">
        <f>IF($B82="","",IF($B82+1&gt;'Qredits maandlasten'!$C$4,"",EOMONTH(C82,0)+1))</f>
        <v/>
      </c>
      <c r="D83" s="125"/>
      <c r="E83" s="127" t="str">
        <f>IF($B82="","",IF($B82+1&gt;'Qredits maandlasten'!$C$4,"",F82+1))</f>
        <v/>
      </c>
      <c r="F83" s="127" t="str">
        <f>IF($B82="","",IF($B82+1&gt;'Qredits maandlasten'!$C$4,"",EOMONTH(E83,0)))</f>
        <v/>
      </c>
      <c r="G83" s="128" t="str">
        <f>IF($B82="","",IF($B82+1&gt;'Qredits maandlasten'!$C$4,"",(_xlfn.DAYS(F83,E83)+1)/DAY(F83)))</f>
        <v/>
      </c>
      <c r="H83" s="129"/>
      <c r="I83" s="130" t="str">
        <f>IF($B82="","",IF($B82+1&gt;'Qredits maandlasten'!$C$4,"",I82-J82))</f>
        <v/>
      </c>
      <c r="J83" s="130" t="str">
        <f>IF($B82="","",IF($B82+1&gt;'Qredits maandlasten'!$C$4,"",IF(B82&lt;'Qredits maandlasten'!$C$11-1,0,IF('Qredits maandlasten'!$C$10=dropdowns!$A$93,'Qredits maandlasten'!$J$3,IF('Qredits maandlasten'!$C$10=dropdowns!$A$92,IFERROR('Qredits maandlasten'!$J$3-K83,0),0)))))</f>
        <v/>
      </c>
      <c r="K83" s="130" t="str">
        <f>IF($B82="","",IF($B82+1&gt;'Qredits maandlasten'!$C$4,"",G83*I83*'Qredits maandlasten'!$C$8))</f>
        <v/>
      </c>
      <c r="L83" s="130" t="str">
        <f t="shared" si="7"/>
        <v/>
      </c>
      <c r="M83" s="130" t="str">
        <f t="shared" si="5"/>
        <v/>
      </c>
      <c r="N83" s="129"/>
      <c r="O83" s="131" t="str">
        <f>IF($B83="","",'Qredits maandlasten'!$C$8)</f>
        <v/>
      </c>
      <c r="P83" s="131" t="str">
        <f>IF($B83="","",'Qredits maandlasten'!$C$8*(POWER(1+'Qredits maandlasten'!$C$8,$B83-1+1)))</f>
        <v/>
      </c>
      <c r="Q83" s="131" t="str">
        <f t="shared" si="8"/>
        <v/>
      </c>
      <c r="R83" s="129"/>
      <c r="S83" s="130" t="str">
        <f t="shared" si="6"/>
        <v/>
      </c>
      <c r="T83" s="130" t="str">
        <f>IF(S83="","",J83/(POWER(1+'Qredits maandlasten'!$C$8,$B83-1+1)))</f>
        <v/>
      </c>
      <c r="U83" s="132" t="str">
        <f t="shared" si="9"/>
        <v/>
      </c>
      <c r="V83" s="130" t="str">
        <f>IF($B83="","",K83/(POWER(1+'Qredits maandlasten'!$C$8,$B83-1+1)))</f>
        <v/>
      </c>
      <c r="W83" s="129"/>
    </row>
    <row r="84" spans="1:23" s="134" customFormat="1" x14ac:dyDescent="0.2">
      <c r="A84" s="125"/>
      <c r="B84" s="126" t="str">
        <f>IF($B83="","",IF($B83+1&gt;'Qredits maandlasten'!$C$4,"",Schema!B83+1))</f>
        <v/>
      </c>
      <c r="C84" s="127" t="str">
        <f>IF($B83="","",IF($B83+1&gt;'Qredits maandlasten'!$C$4,"",EOMONTH(C83,0)+1))</f>
        <v/>
      </c>
      <c r="D84" s="125"/>
      <c r="E84" s="127" t="str">
        <f>IF($B83="","",IF($B83+1&gt;'Qredits maandlasten'!$C$4,"",F83+1))</f>
        <v/>
      </c>
      <c r="F84" s="127" t="str">
        <f>IF($B83="","",IF($B83+1&gt;'Qredits maandlasten'!$C$4,"",EOMONTH(E84,0)))</f>
        <v/>
      </c>
      <c r="G84" s="128" t="str">
        <f>IF($B83="","",IF($B83+1&gt;'Qredits maandlasten'!$C$4,"",(_xlfn.DAYS(F84,E84)+1)/DAY(F84)))</f>
        <v/>
      </c>
      <c r="H84" s="129"/>
      <c r="I84" s="130" t="str">
        <f>IF($B83="","",IF($B83+1&gt;'Qredits maandlasten'!$C$4,"",I83-J83))</f>
        <v/>
      </c>
      <c r="J84" s="130" t="str">
        <f>IF($B83="","",IF($B83+1&gt;'Qredits maandlasten'!$C$4,"",IF(B83&lt;'Qredits maandlasten'!$C$11-1,0,IF('Qredits maandlasten'!$C$10=dropdowns!$A$93,'Qredits maandlasten'!$J$3,IF('Qredits maandlasten'!$C$10=dropdowns!$A$92,IFERROR('Qredits maandlasten'!$J$3-K84,0),0)))))</f>
        <v/>
      </c>
      <c r="K84" s="130" t="str">
        <f>IF($B83="","",IF($B83+1&gt;'Qredits maandlasten'!$C$4,"",G84*I84*'Qredits maandlasten'!$C$8))</f>
        <v/>
      </c>
      <c r="L84" s="130" t="str">
        <f t="shared" si="7"/>
        <v/>
      </c>
      <c r="M84" s="130" t="str">
        <f t="shared" si="5"/>
        <v/>
      </c>
      <c r="N84" s="129"/>
      <c r="O84" s="131" t="str">
        <f>IF($B84="","",'Qredits maandlasten'!$C$8)</f>
        <v/>
      </c>
      <c r="P84" s="131" t="str">
        <f>IF($B84="","",'Qredits maandlasten'!$C$8*(POWER(1+'Qredits maandlasten'!$C$8,$B84-1+1)))</f>
        <v/>
      </c>
      <c r="Q84" s="131" t="str">
        <f t="shared" si="8"/>
        <v/>
      </c>
      <c r="R84" s="129"/>
      <c r="S84" s="130" t="str">
        <f t="shared" si="6"/>
        <v/>
      </c>
      <c r="T84" s="130" t="str">
        <f>IF(S84="","",J84/(POWER(1+'Qredits maandlasten'!$C$8,$B84-1+1)))</f>
        <v/>
      </c>
      <c r="U84" s="132" t="str">
        <f t="shared" si="9"/>
        <v/>
      </c>
      <c r="V84" s="130" t="str">
        <f>IF($B84="","",K84/(POWER(1+'Qredits maandlasten'!$C$8,$B84-1+1)))</f>
        <v/>
      </c>
      <c r="W84" s="129"/>
    </row>
    <row r="85" spans="1:23" s="134" customFormat="1" x14ac:dyDescent="0.2">
      <c r="A85" s="125"/>
      <c r="B85" s="126" t="str">
        <f>IF($B84="","",IF($B84+1&gt;'Qredits maandlasten'!$C$4,"",Schema!B84+1))</f>
        <v/>
      </c>
      <c r="C85" s="127" t="str">
        <f>IF($B84="","",IF($B84+1&gt;'Qredits maandlasten'!$C$4,"",EOMONTH(C84,0)+1))</f>
        <v/>
      </c>
      <c r="D85" s="125"/>
      <c r="E85" s="127" t="str">
        <f>IF($B84="","",IF($B84+1&gt;'Qredits maandlasten'!$C$4,"",F84+1))</f>
        <v/>
      </c>
      <c r="F85" s="127" t="str">
        <f>IF($B84="","",IF($B84+1&gt;'Qredits maandlasten'!$C$4,"",EOMONTH(E85,0)))</f>
        <v/>
      </c>
      <c r="G85" s="128" t="str">
        <f>IF($B84="","",IF($B84+1&gt;'Qredits maandlasten'!$C$4,"",(_xlfn.DAYS(F85,E85)+1)/DAY(F85)))</f>
        <v/>
      </c>
      <c r="H85" s="129"/>
      <c r="I85" s="130" t="str">
        <f>IF($B84="","",IF($B84+1&gt;'Qredits maandlasten'!$C$4,"",I84-J84))</f>
        <v/>
      </c>
      <c r="J85" s="130" t="str">
        <f>IF($B84="","",IF($B84+1&gt;'Qredits maandlasten'!$C$4,"",IF(B84&lt;'Qredits maandlasten'!$C$11-1,0,IF('Qredits maandlasten'!$C$10=dropdowns!$A$93,'Qredits maandlasten'!$J$3,IF('Qredits maandlasten'!$C$10=dropdowns!$A$92,IFERROR('Qredits maandlasten'!$J$3-K85,0),0)))))</f>
        <v/>
      </c>
      <c r="K85" s="130" t="str">
        <f>IF($B84="","",IF($B84+1&gt;'Qredits maandlasten'!$C$4,"",G85*I85*'Qredits maandlasten'!$C$8))</f>
        <v/>
      </c>
      <c r="L85" s="130" t="str">
        <f t="shared" si="7"/>
        <v/>
      </c>
      <c r="M85" s="130" t="str">
        <f t="shared" si="5"/>
        <v/>
      </c>
      <c r="N85" s="129"/>
      <c r="O85" s="131" t="str">
        <f>IF($B85="","",'Qredits maandlasten'!$C$8)</f>
        <v/>
      </c>
      <c r="P85" s="131" t="str">
        <f>IF($B85="","",'Qredits maandlasten'!$C$8*(POWER(1+'Qredits maandlasten'!$C$8,$B85-1+1)))</f>
        <v/>
      </c>
      <c r="Q85" s="131" t="str">
        <f t="shared" si="8"/>
        <v/>
      </c>
      <c r="R85" s="129"/>
      <c r="S85" s="130" t="str">
        <f t="shared" si="6"/>
        <v/>
      </c>
      <c r="T85" s="130" t="str">
        <f>IF(S85="","",J85/(POWER(1+'Qredits maandlasten'!$C$8,$B85-1+1)))</f>
        <v/>
      </c>
      <c r="U85" s="132" t="str">
        <f t="shared" si="9"/>
        <v/>
      </c>
      <c r="V85" s="130" t="str">
        <f>IF($B85="","",K85/(POWER(1+'Qredits maandlasten'!$C$8,$B85-1+1)))</f>
        <v/>
      </c>
      <c r="W85" s="129"/>
    </row>
    <row r="86" spans="1:23" s="134" customFormat="1" x14ac:dyDescent="0.2">
      <c r="A86" s="125"/>
      <c r="B86" s="126" t="str">
        <f>IF($B85="","",IF($B85+1&gt;'Qredits maandlasten'!$C$4,"",Schema!B85+1))</f>
        <v/>
      </c>
      <c r="C86" s="127" t="str">
        <f>IF($B85="","",IF($B85+1&gt;'Qredits maandlasten'!$C$4,"",EOMONTH(C85,0)+1))</f>
        <v/>
      </c>
      <c r="D86" s="125"/>
      <c r="E86" s="127" t="str">
        <f>IF($B85="","",IF($B85+1&gt;'Qredits maandlasten'!$C$4,"",F85+1))</f>
        <v/>
      </c>
      <c r="F86" s="127" t="str">
        <f>IF($B85="","",IF($B85+1&gt;'Qredits maandlasten'!$C$4,"",EOMONTH(E86,0)))</f>
        <v/>
      </c>
      <c r="G86" s="128" t="str">
        <f>IF($B85="","",IF($B85+1&gt;'Qredits maandlasten'!$C$4,"",(_xlfn.DAYS(F86,E86)+1)/DAY(F86)))</f>
        <v/>
      </c>
      <c r="H86" s="129"/>
      <c r="I86" s="130" t="str">
        <f>IF($B85="","",IF($B85+1&gt;'Qredits maandlasten'!$C$4,"",I85-J85))</f>
        <v/>
      </c>
      <c r="J86" s="130" t="str">
        <f>IF($B85="","",IF($B85+1&gt;'Qredits maandlasten'!$C$4,"",IF(B85&lt;'Qredits maandlasten'!$C$11-1,0,IF('Qredits maandlasten'!$C$10=dropdowns!$A$93,'Qredits maandlasten'!$J$3,IF('Qredits maandlasten'!$C$10=dropdowns!$A$92,IFERROR('Qredits maandlasten'!$J$3-K86,0),0)))))</f>
        <v/>
      </c>
      <c r="K86" s="130" t="str">
        <f>IF($B85="","",IF($B85+1&gt;'Qredits maandlasten'!$C$4,"",G86*I86*'Qredits maandlasten'!$C$8))</f>
        <v/>
      </c>
      <c r="L86" s="130" t="str">
        <f t="shared" si="7"/>
        <v/>
      </c>
      <c r="M86" s="130" t="str">
        <f t="shared" si="5"/>
        <v/>
      </c>
      <c r="N86" s="129"/>
      <c r="O86" s="131" t="str">
        <f>IF($B86="","",'Qredits maandlasten'!$C$8)</f>
        <v/>
      </c>
      <c r="P86" s="131" t="str">
        <f>IF($B86="","",'Qredits maandlasten'!$C$8*(POWER(1+'Qredits maandlasten'!$C$8,$B86-1+1)))</f>
        <v/>
      </c>
      <c r="Q86" s="131" t="str">
        <f t="shared" si="8"/>
        <v/>
      </c>
      <c r="R86" s="129"/>
      <c r="S86" s="130" t="str">
        <f t="shared" si="6"/>
        <v/>
      </c>
      <c r="T86" s="130" t="str">
        <f>IF(S86="","",J86/(POWER(1+'Qredits maandlasten'!$C$8,$B86-1+1)))</f>
        <v/>
      </c>
      <c r="U86" s="132" t="str">
        <f t="shared" si="9"/>
        <v/>
      </c>
      <c r="V86" s="130" t="str">
        <f>IF($B86="","",K86/(POWER(1+'Qredits maandlasten'!$C$8,$B86-1+1)))</f>
        <v/>
      </c>
      <c r="W86" s="129"/>
    </row>
    <row r="87" spans="1:23" s="134" customFormat="1" x14ac:dyDescent="0.2">
      <c r="A87" s="125"/>
      <c r="B87" s="126" t="str">
        <f>IF($B86="","",IF($B86+1&gt;'Qredits maandlasten'!$C$4,"",Schema!B86+1))</f>
        <v/>
      </c>
      <c r="C87" s="127" t="str">
        <f>IF($B86="","",IF($B86+1&gt;'Qredits maandlasten'!$C$4,"",EOMONTH(C86,0)+1))</f>
        <v/>
      </c>
      <c r="D87" s="125"/>
      <c r="E87" s="127" t="str">
        <f>IF($B86="","",IF($B86+1&gt;'Qredits maandlasten'!$C$4,"",F86+1))</f>
        <v/>
      </c>
      <c r="F87" s="127" t="str">
        <f>IF($B86="","",IF($B86+1&gt;'Qredits maandlasten'!$C$4,"",EOMONTH(E87,0)))</f>
        <v/>
      </c>
      <c r="G87" s="128" t="str">
        <f>IF($B86="","",IF($B86+1&gt;'Qredits maandlasten'!$C$4,"",(_xlfn.DAYS(F87,E87)+1)/DAY(F87)))</f>
        <v/>
      </c>
      <c r="H87" s="129"/>
      <c r="I87" s="130" t="str">
        <f>IF($B86="","",IF($B86+1&gt;'Qredits maandlasten'!$C$4,"",I86-J86))</f>
        <v/>
      </c>
      <c r="J87" s="130" t="str">
        <f>IF($B86="","",IF($B86+1&gt;'Qredits maandlasten'!$C$4,"",IF(B86&lt;'Qredits maandlasten'!$C$11-1,0,IF('Qredits maandlasten'!$C$10=dropdowns!$A$93,'Qredits maandlasten'!$J$3,IF('Qredits maandlasten'!$C$10=dropdowns!$A$92,IFERROR('Qredits maandlasten'!$J$3-K87,0),0)))))</f>
        <v/>
      </c>
      <c r="K87" s="130" t="str">
        <f>IF($B86="","",IF($B86+1&gt;'Qredits maandlasten'!$C$4,"",G87*I87*'Qredits maandlasten'!$C$8))</f>
        <v/>
      </c>
      <c r="L87" s="130" t="str">
        <f t="shared" si="7"/>
        <v/>
      </c>
      <c r="M87" s="130" t="str">
        <f t="shared" si="5"/>
        <v/>
      </c>
      <c r="N87" s="129"/>
      <c r="O87" s="131" t="str">
        <f>IF($B87="","",'Qredits maandlasten'!$C$8)</f>
        <v/>
      </c>
      <c r="P87" s="131" t="str">
        <f>IF($B87="","",'Qredits maandlasten'!$C$8*(POWER(1+'Qredits maandlasten'!$C$8,$B87-1+1)))</f>
        <v/>
      </c>
      <c r="Q87" s="131" t="str">
        <f t="shared" si="8"/>
        <v/>
      </c>
      <c r="R87" s="129"/>
      <c r="S87" s="130" t="str">
        <f t="shared" si="6"/>
        <v/>
      </c>
      <c r="T87" s="130" t="str">
        <f>IF(S87="","",J87/(POWER(1+'Qredits maandlasten'!$C$8,$B87-1+1)))</f>
        <v/>
      </c>
      <c r="U87" s="132" t="str">
        <f t="shared" si="9"/>
        <v/>
      </c>
      <c r="V87" s="130" t="str">
        <f>IF($B87="","",K87/(POWER(1+'Qredits maandlasten'!$C$8,$B87-1+1)))</f>
        <v/>
      </c>
      <c r="W87" s="129"/>
    </row>
    <row r="88" spans="1:23" s="134" customFormat="1" x14ac:dyDescent="0.2">
      <c r="A88" s="125"/>
      <c r="B88" s="126" t="str">
        <f>IF($B87="","",IF($B87+1&gt;'Qredits maandlasten'!$C$4,"",Schema!B87+1))</f>
        <v/>
      </c>
      <c r="C88" s="127" t="str">
        <f>IF($B87="","",IF($B87+1&gt;'Qredits maandlasten'!$C$4,"",EOMONTH(C87,0)+1))</f>
        <v/>
      </c>
      <c r="D88" s="125"/>
      <c r="E88" s="127" t="str">
        <f>IF($B87="","",IF($B87+1&gt;'Qredits maandlasten'!$C$4,"",F87+1))</f>
        <v/>
      </c>
      <c r="F88" s="127" t="str">
        <f>IF($B87="","",IF($B87+1&gt;'Qredits maandlasten'!$C$4,"",EOMONTH(E88,0)))</f>
        <v/>
      </c>
      <c r="G88" s="128" t="str">
        <f>IF($B87="","",IF($B87+1&gt;'Qredits maandlasten'!$C$4,"",(_xlfn.DAYS(F88,E88)+1)/DAY(F88)))</f>
        <v/>
      </c>
      <c r="H88" s="129"/>
      <c r="I88" s="130" t="str">
        <f>IF($B87="","",IF($B87+1&gt;'Qredits maandlasten'!$C$4,"",I87-J87))</f>
        <v/>
      </c>
      <c r="J88" s="130" t="str">
        <f>IF($B87="","",IF($B87+1&gt;'Qredits maandlasten'!$C$4,"",IF(B87&lt;'Qredits maandlasten'!$C$11-1,0,IF('Qredits maandlasten'!$C$10=dropdowns!$A$93,'Qredits maandlasten'!$J$3,IF('Qredits maandlasten'!$C$10=dropdowns!$A$92,IFERROR('Qredits maandlasten'!$J$3-K88,0),0)))))</f>
        <v/>
      </c>
      <c r="K88" s="130" t="str">
        <f>IF($B87="","",IF($B87+1&gt;'Qredits maandlasten'!$C$4,"",G88*I88*'Qredits maandlasten'!$C$8))</f>
        <v/>
      </c>
      <c r="L88" s="130" t="str">
        <f t="shared" si="7"/>
        <v/>
      </c>
      <c r="M88" s="130" t="str">
        <f t="shared" si="5"/>
        <v/>
      </c>
      <c r="N88" s="129"/>
      <c r="O88" s="131" t="str">
        <f>IF($B88="","",'Qredits maandlasten'!$C$8)</f>
        <v/>
      </c>
      <c r="P88" s="131" t="str">
        <f>IF($B88="","",'Qredits maandlasten'!$C$8*(POWER(1+'Qredits maandlasten'!$C$8,$B88-1+1)))</f>
        <v/>
      </c>
      <c r="Q88" s="131" t="str">
        <f t="shared" si="8"/>
        <v/>
      </c>
      <c r="R88" s="129"/>
      <c r="S88" s="130" t="str">
        <f t="shared" si="6"/>
        <v/>
      </c>
      <c r="T88" s="130" t="str">
        <f>IF(S88="","",J88/(POWER(1+'Qredits maandlasten'!$C$8,$B88-1+1)))</f>
        <v/>
      </c>
      <c r="U88" s="132" t="str">
        <f t="shared" si="9"/>
        <v/>
      </c>
      <c r="V88" s="130" t="str">
        <f>IF($B88="","",K88/(POWER(1+'Qredits maandlasten'!$C$8,$B88-1+1)))</f>
        <v/>
      </c>
      <c r="W88" s="129"/>
    </row>
    <row r="89" spans="1:23" s="134" customFormat="1" x14ac:dyDescent="0.2">
      <c r="A89" s="125"/>
      <c r="B89" s="126" t="str">
        <f>IF($B88="","",IF($B88+1&gt;'Qredits maandlasten'!$C$4,"",Schema!B88+1))</f>
        <v/>
      </c>
      <c r="C89" s="127" t="str">
        <f>IF($B88="","",IF($B88+1&gt;'Qredits maandlasten'!$C$4,"",EOMONTH(C88,0)+1))</f>
        <v/>
      </c>
      <c r="D89" s="125"/>
      <c r="E89" s="127" t="str">
        <f>IF($B88="","",IF($B88+1&gt;'Qredits maandlasten'!$C$4,"",F88+1))</f>
        <v/>
      </c>
      <c r="F89" s="127" t="str">
        <f>IF($B88="","",IF($B88+1&gt;'Qredits maandlasten'!$C$4,"",EOMONTH(E89,0)))</f>
        <v/>
      </c>
      <c r="G89" s="128" t="str">
        <f>IF($B88="","",IF($B88+1&gt;'Qredits maandlasten'!$C$4,"",(_xlfn.DAYS(F89,E89)+1)/DAY(F89)))</f>
        <v/>
      </c>
      <c r="H89" s="129"/>
      <c r="I89" s="130" t="str">
        <f>IF($B88="","",IF($B88+1&gt;'Qredits maandlasten'!$C$4,"",I88-J88))</f>
        <v/>
      </c>
      <c r="J89" s="130" t="str">
        <f>IF($B88="","",IF($B88+1&gt;'Qredits maandlasten'!$C$4,"",IF(B88&lt;'Qredits maandlasten'!$C$11-1,0,IF('Qredits maandlasten'!$C$10=dropdowns!$A$93,'Qredits maandlasten'!$J$3,IF('Qredits maandlasten'!$C$10=dropdowns!$A$92,IFERROR('Qredits maandlasten'!$J$3-K89,0),0)))))</f>
        <v/>
      </c>
      <c r="K89" s="130" t="str">
        <f>IF($B88="","",IF($B88+1&gt;'Qredits maandlasten'!$C$4,"",G89*I89*'Qredits maandlasten'!$C$8))</f>
        <v/>
      </c>
      <c r="L89" s="130" t="str">
        <f t="shared" si="7"/>
        <v/>
      </c>
      <c r="M89" s="130" t="str">
        <f t="shared" si="5"/>
        <v/>
      </c>
      <c r="N89" s="129"/>
      <c r="O89" s="131" t="str">
        <f>IF($B89="","",'Qredits maandlasten'!$C$8)</f>
        <v/>
      </c>
      <c r="P89" s="131" t="str">
        <f>IF($B89="","",'Qredits maandlasten'!$C$8*(POWER(1+'Qredits maandlasten'!$C$8,$B89-1+1)))</f>
        <v/>
      </c>
      <c r="Q89" s="131" t="str">
        <f t="shared" si="8"/>
        <v/>
      </c>
      <c r="R89" s="129"/>
      <c r="S89" s="130" t="str">
        <f t="shared" si="6"/>
        <v/>
      </c>
      <c r="T89" s="130" t="str">
        <f>IF(S89="","",J89/(POWER(1+'Qredits maandlasten'!$C$8,$B89-1+1)))</f>
        <v/>
      </c>
      <c r="U89" s="132" t="str">
        <f t="shared" si="9"/>
        <v/>
      </c>
      <c r="V89" s="130" t="str">
        <f>IF($B89="","",K89/(POWER(1+'Qredits maandlasten'!$C$8,$B89-1+1)))</f>
        <v/>
      </c>
      <c r="W89" s="129"/>
    </row>
    <row r="90" spans="1:23" s="134" customFormat="1" x14ac:dyDescent="0.2">
      <c r="A90" s="125"/>
      <c r="B90" s="126" t="str">
        <f>IF($B89="","",IF($B89+1&gt;'Qredits maandlasten'!$C$4,"",Schema!B89+1))</f>
        <v/>
      </c>
      <c r="C90" s="127" t="str">
        <f>IF($B89="","",IF($B89+1&gt;'Qredits maandlasten'!$C$4,"",EOMONTH(C89,0)+1))</f>
        <v/>
      </c>
      <c r="D90" s="125"/>
      <c r="E90" s="127" t="str">
        <f>IF($B89="","",IF($B89+1&gt;'Qredits maandlasten'!$C$4,"",F89+1))</f>
        <v/>
      </c>
      <c r="F90" s="127" t="str">
        <f>IF($B89="","",IF($B89+1&gt;'Qredits maandlasten'!$C$4,"",EOMONTH(E90,0)))</f>
        <v/>
      </c>
      <c r="G90" s="128" t="str">
        <f>IF($B89="","",IF($B89+1&gt;'Qredits maandlasten'!$C$4,"",(_xlfn.DAYS(F90,E90)+1)/DAY(F90)))</f>
        <v/>
      </c>
      <c r="H90" s="129"/>
      <c r="I90" s="130" t="str">
        <f>IF($B89="","",IF($B89+1&gt;'Qredits maandlasten'!$C$4,"",I89-J89))</f>
        <v/>
      </c>
      <c r="J90" s="130" t="str">
        <f>IF($B89="","",IF($B89+1&gt;'Qredits maandlasten'!$C$4,"",IF(B89&lt;'Qredits maandlasten'!$C$11-1,0,IF('Qredits maandlasten'!$C$10=dropdowns!$A$93,'Qredits maandlasten'!$J$3,IF('Qredits maandlasten'!$C$10=dropdowns!$A$92,IFERROR('Qredits maandlasten'!$J$3-K90,0),0)))))</f>
        <v/>
      </c>
      <c r="K90" s="130" t="str">
        <f>IF($B89="","",IF($B89+1&gt;'Qredits maandlasten'!$C$4,"",G90*I90*'Qredits maandlasten'!$C$8))</f>
        <v/>
      </c>
      <c r="L90" s="130" t="str">
        <f t="shared" si="7"/>
        <v/>
      </c>
      <c r="M90" s="130" t="str">
        <f t="shared" si="5"/>
        <v/>
      </c>
      <c r="N90" s="129"/>
      <c r="O90" s="131" t="str">
        <f>IF($B90="","",'Qredits maandlasten'!$C$8)</f>
        <v/>
      </c>
      <c r="P90" s="131" t="str">
        <f>IF($B90="","",'Qredits maandlasten'!$C$8*(POWER(1+'Qredits maandlasten'!$C$8,$B90-1+1)))</f>
        <v/>
      </c>
      <c r="Q90" s="131" t="str">
        <f t="shared" si="8"/>
        <v/>
      </c>
      <c r="R90" s="129"/>
      <c r="S90" s="130" t="str">
        <f t="shared" si="6"/>
        <v/>
      </c>
      <c r="T90" s="130" t="str">
        <f>IF(S90="","",J90/(POWER(1+'Qredits maandlasten'!$C$8,$B90-1+1)))</f>
        <v/>
      </c>
      <c r="U90" s="132" t="str">
        <f t="shared" si="9"/>
        <v/>
      </c>
      <c r="V90" s="130" t="str">
        <f>IF($B90="","",K90/(POWER(1+'Qredits maandlasten'!$C$8,$B90-1+1)))</f>
        <v/>
      </c>
      <c r="W90" s="129"/>
    </row>
    <row r="91" spans="1:23" s="134" customFormat="1" x14ac:dyDescent="0.2">
      <c r="A91" s="125"/>
      <c r="B91" s="126" t="str">
        <f>IF($B90="","",IF($B90+1&gt;'Qredits maandlasten'!$C$4,"",Schema!B90+1))</f>
        <v/>
      </c>
      <c r="C91" s="127" t="str">
        <f>IF($B90="","",IF($B90+1&gt;'Qredits maandlasten'!$C$4,"",EOMONTH(C90,0)+1))</f>
        <v/>
      </c>
      <c r="D91" s="125"/>
      <c r="E91" s="127" t="str">
        <f>IF($B90="","",IF($B90+1&gt;'Qredits maandlasten'!$C$4,"",F90+1))</f>
        <v/>
      </c>
      <c r="F91" s="127" t="str">
        <f>IF($B90="","",IF($B90+1&gt;'Qredits maandlasten'!$C$4,"",EOMONTH(E91,0)))</f>
        <v/>
      </c>
      <c r="G91" s="128" t="str">
        <f>IF($B90="","",IF($B90+1&gt;'Qredits maandlasten'!$C$4,"",(_xlfn.DAYS(F91,E91)+1)/DAY(F91)))</f>
        <v/>
      </c>
      <c r="H91" s="129"/>
      <c r="I91" s="130" t="str">
        <f>IF($B90="","",IF($B90+1&gt;'Qredits maandlasten'!$C$4,"",I90-J90))</f>
        <v/>
      </c>
      <c r="J91" s="130" t="str">
        <f>IF($B90="","",IF($B90+1&gt;'Qredits maandlasten'!$C$4,"",IF(B90&lt;'Qredits maandlasten'!$C$11-1,0,IF('Qredits maandlasten'!$C$10=dropdowns!$A$93,'Qredits maandlasten'!$J$3,IF('Qredits maandlasten'!$C$10=dropdowns!$A$92,IFERROR('Qredits maandlasten'!$J$3-K91,0),0)))))</f>
        <v/>
      </c>
      <c r="K91" s="130" t="str">
        <f>IF($B90="","",IF($B90+1&gt;'Qredits maandlasten'!$C$4,"",G91*I91*'Qredits maandlasten'!$C$8))</f>
        <v/>
      </c>
      <c r="L91" s="130" t="str">
        <f t="shared" si="7"/>
        <v/>
      </c>
      <c r="M91" s="130" t="str">
        <f t="shared" si="5"/>
        <v/>
      </c>
      <c r="N91" s="129"/>
      <c r="O91" s="131" t="str">
        <f>IF($B91="","",'Qredits maandlasten'!$C$8)</f>
        <v/>
      </c>
      <c r="P91" s="131" t="str">
        <f>IF($B91="","",'Qredits maandlasten'!$C$8*(POWER(1+'Qredits maandlasten'!$C$8,$B91-1+1)))</f>
        <v/>
      </c>
      <c r="Q91" s="131" t="str">
        <f t="shared" si="8"/>
        <v/>
      </c>
      <c r="R91" s="129"/>
      <c r="S91" s="130" t="str">
        <f t="shared" si="6"/>
        <v/>
      </c>
      <c r="T91" s="130" t="str">
        <f>IF(S91="","",J91/(POWER(1+'Qredits maandlasten'!$C$8,$B91-1+1)))</f>
        <v/>
      </c>
      <c r="U91" s="132" t="str">
        <f t="shared" si="9"/>
        <v/>
      </c>
      <c r="V91" s="130" t="str">
        <f>IF($B91="","",K91/(POWER(1+'Qredits maandlasten'!$C$8,$B91-1+1)))</f>
        <v/>
      </c>
      <c r="W91" s="129"/>
    </row>
    <row r="92" spans="1:23" s="134" customFormat="1" x14ac:dyDescent="0.2">
      <c r="A92" s="125"/>
      <c r="B92" s="126" t="str">
        <f>IF($B91="","",IF($B91+1&gt;'Qredits maandlasten'!$C$4,"",Schema!B91+1))</f>
        <v/>
      </c>
      <c r="C92" s="127" t="str">
        <f>IF($B91="","",IF($B91+1&gt;'Qredits maandlasten'!$C$4,"",EOMONTH(C91,0)+1))</f>
        <v/>
      </c>
      <c r="D92" s="125"/>
      <c r="E92" s="127" t="str">
        <f>IF($B91="","",IF($B91+1&gt;'Qredits maandlasten'!$C$4,"",F91+1))</f>
        <v/>
      </c>
      <c r="F92" s="127" t="str">
        <f>IF($B91="","",IF($B91+1&gt;'Qredits maandlasten'!$C$4,"",EOMONTH(E92,0)))</f>
        <v/>
      </c>
      <c r="G92" s="128" t="str">
        <f>IF($B91="","",IF($B91+1&gt;'Qredits maandlasten'!$C$4,"",(_xlfn.DAYS(F92,E92)+1)/DAY(F92)))</f>
        <v/>
      </c>
      <c r="H92" s="129"/>
      <c r="I92" s="130" t="str">
        <f>IF($B91="","",IF($B91+1&gt;'Qredits maandlasten'!$C$4,"",I91-J91))</f>
        <v/>
      </c>
      <c r="J92" s="130" t="str">
        <f>IF($B91="","",IF($B91+1&gt;'Qredits maandlasten'!$C$4,"",IF(B91&lt;'Qredits maandlasten'!$C$11-1,0,IF('Qredits maandlasten'!$C$10=dropdowns!$A$93,'Qredits maandlasten'!$J$3,IF('Qredits maandlasten'!$C$10=dropdowns!$A$92,IFERROR('Qredits maandlasten'!$J$3-K92,0),0)))))</f>
        <v/>
      </c>
      <c r="K92" s="130" t="str">
        <f>IF($B91="","",IF($B91+1&gt;'Qredits maandlasten'!$C$4,"",G92*I92*'Qredits maandlasten'!$C$8))</f>
        <v/>
      </c>
      <c r="L92" s="130" t="str">
        <f t="shared" si="7"/>
        <v/>
      </c>
      <c r="M92" s="130" t="str">
        <f t="shared" si="5"/>
        <v/>
      </c>
      <c r="N92" s="129"/>
      <c r="O92" s="131" t="str">
        <f>IF($B92="","",'Qredits maandlasten'!$C$8)</f>
        <v/>
      </c>
      <c r="P92" s="131" t="str">
        <f>IF($B92="","",'Qredits maandlasten'!$C$8*(POWER(1+'Qredits maandlasten'!$C$8,$B92-1+1)))</f>
        <v/>
      </c>
      <c r="Q92" s="131" t="str">
        <f t="shared" si="8"/>
        <v/>
      </c>
      <c r="R92" s="129"/>
      <c r="S92" s="130" t="str">
        <f t="shared" si="6"/>
        <v/>
      </c>
      <c r="T92" s="130" t="str">
        <f>IF(S92="","",J92/(POWER(1+'Qredits maandlasten'!$C$8,$B92-1+1)))</f>
        <v/>
      </c>
      <c r="U92" s="132" t="str">
        <f t="shared" si="9"/>
        <v/>
      </c>
      <c r="V92" s="130" t="str">
        <f>IF($B92="","",K92/(POWER(1+'Qredits maandlasten'!$C$8,$B92-1+1)))</f>
        <v/>
      </c>
      <c r="W92" s="129"/>
    </row>
    <row r="93" spans="1:23" s="134" customFormat="1" x14ac:dyDescent="0.2">
      <c r="A93" s="125"/>
      <c r="B93" s="126" t="str">
        <f>IF($B92="","",IF($B92+1&gt;'Qredits maandlasten'!$C$4,"",Schema!B92+1))</f>
        <v/>
      </c>
      <c r="C93" s="127" t="str">
        <f>IF($B92="","",IF($B92+1&gt;'Qredits maandlasten'!$C$4,"",EOMONTH(C92,0)+1))</f>
        <v/>
      </c>
      <c r="D93" s="125"/>
      <c r="E93" s="127" t="str">
        <f>IF($B92="","",IF($B92+1&gt;'Qredits maandlasten'!$C$4,"",F92+1))</f>
        <v/>
      </c>
      <c r="F93" s="127" t="str">
        <f>IF($B92="","",IF($B92+1&gt;'Qredits maandlasten'!$C$4,"",EOMONTH(E93,0)))</f>
        <v/>
      </c>
      <c r="G93" s="128" t="str">
        <f>IF($B92="","",IF($B92+1&gt;'Qredits maandlasten'!$C$4,"",(_xlfn.DAYS(F93,E93)+1)/DAY(F93)))</f>
        <v/>
      </c>
      <c r="H93" s="129"/>
      <c r="I93" s="130" t="str">
        <f>IF($B92="","",IF($B92+1&gt;'Qredits maandlasten'!$C$4,"",I92-J92))</f>
        <v/>
      </c>
      <c r="J93" s="130" t="str">
        <f>IF($B92="","",IF($B92+1&gt;'Qredits maandlasten'!$C$4,"",IF(B92&lt;'Qredits maandlasten'!$C$11-1,0,IF('Qredits maandlasten'!$C$10=dropdowns!$A$93,'Qredits maandlasten'!$J$3,IF('Qredits maandlasten'!$C$10=dropdowns!$A$92,IFERROR('Qredits maandlasten'!$J$3-K93,0),0)))))</f>
        <v/>
      </c>
      <c r="K93" s="130" t="str">
        <f>IF($B92="","",IF($B92+1&gt;'Qredits maandlasten'!$C$4,"",G93*I93*'Qredits maandlasten'!$C$8))</f>
        <v/>
      </c>
      <c r="L93" s="130" t="str">
        <f t="shared" si="7"/>
        <v/>
      </c>
      <c r="M93" s="130" t="str">
        <f t="shared" si="5"/>
        <v/>
      </c>
      <c r="N93" s="129"/>
      <c r="O93" s="131" t="str">
        <f>IF($B93="","",'Qredits maandlasten'!$C$8)</f>
        <v/>
      </c>
      <c r="P93" s="131" t="str">
        <f>IF($B93="","",'Qredits maandlasten'!$C$8*(POWER(1+'Qredits maandlasten'!$C$8,$B93-1+1)))</f>
        <v/>
      </c>
      <c r="Q93" s="131" t="str">
        <f t="shared" si="8"/>
        <v/>
      </c>
      <c r="R93" s="129"/>
      <c r="S93" s="130" t="str">
        <f t="shared" si="6"/>
        <v/>
      </c>
      <c r="T93" s="130" t="str">
        <f>IF(S93="","",J93/(POWER(1+'Qredits maandlasten'!$C$8,$B93-1+1)))</f>
        <v/>
      </c>
      <c r="U93" s="132" t="str">
        <f t="shared" si="9"/>
        <v/>
      </c>
      <c r="V93" s="130" t="str">
        <f>IF($B93="","",K93/(POWER(1+'Qredits maandlasten'!$C$8,$B93-1+1)))</f>
        <v/>
      </c>
      <c r="W93" s="129"/>
    </row>
    <row r="94" spans="1:23" s="134" customFormat="1" x14ac:dyDescent="0.2">
      <c r="A94" s="125"/>
      <c r="B94" s="126" t="str">
        <f>IF($B93="","",IF($B93+1&gt;'Qredits maandlasten'!$C$4,"",Schema!B93+1))</f>
        <v/>
      </c>
      <c r="C94" s="127" t="str">
        <f>IF($B93="","",IF($B93+1&gt;'Qredits maandlasten'!$C$4,"",EOMONTH(C93,0)+1))</f>
        <v/>
      </c>
      <c r="D94" s="125"/>
      <c r="E94" s="127" t="str">
        <f>IF($B93="","",IF($B93+1&gt;'Qredits maandlasten'!$C$4,"",F93+1))</f>
        <v/>
      </c>
      <c r="F94" s="127" t="str">
        <f>IF($B93="","",IF($B93+1&gt;'Qredits maandlasten'!$C$4,"",EOMONTH(E94,0)))</f>
        <v/>
      </c>
      <c r="G94" s="128" t="str">
        <f>IF($B93="","",IF($B93+1&gt;'Qredits maandlasten'!$C$4,"",(_xlfn.DAYS(F94,E94)+1)/DAY(F94)))</f>
        <v/>
      </c>
      <c r="H94" s="129"/>
      <c r="I94" s="130" t="str">
        <f>IF($B93="","",IF($B93+1&gt;'Qredits maandlasten'!$C$4,"",I93-J93))</f>
        <v/>
      </c>
      <c r="J94" s="130" t="str">
        <f>IF($B93="","",IF($B93+1&gt;'Qredits maandlasten'!$C$4,"",IF(B93&lt;'Qredits maandlasten'!$C$11-1,0,IF('Qredits maandlasten'!$C$10=dropdowns!$A$93,'Qredits maandlasten'!$J$3,IF('Qredits maandlasten'!$C$10=dropdowns!$A$92,IFERROR('Qredits maandlasten'!$J$3-K94,0),0)))))</f>
        <v/>
      </c>
      <c r="K94" s="130" t="str">
        <f>IF($B93="","",IF($B93+1&gt;'Qredits maandlasten'!$C$4,"",G94*I94*'Qredits maandlasten'!$C$8))</f>
        <v/>
      </c>
      <c r="L94" s="130" t="str">
        <f t="shared" si="7"/>
        <v/>
      </c>
      <c r="M94" s="130" t="str">
        <f t="shared" si="5"/>
        <v/>
      </c>
      <c r="N94" s="129"/>
      <c r="O94" s="131" t="str">
        <f>IF($B94="","",'Qredits maandlasten'!$C$8)</f>
        <v/>
      </c>
      <c r="P94" s="131" t="str">
        <f>IF($B94="","",'Qredits maandlasten'!$C$8*(POWER(1+'Qredits maandlasten'!$C$8,$B94-1+1)))</f>
        <v/>
      </c>
      <c r="Q94" s="131" t="str">
        <f t="shared" si="8"/>
        <v/>
      </c>
      <c r="R94" s="129"/>
      <c r="S94" s="130" t="str">
        <f t="shared" si="6"/>
        <v/>
      </c>
      <c r="T94" s="130" t="str">
        <f>IF(S94="","",J94/(POWER(1+'Qredits maandlasten'!$C$8,$B94-1+1)))</f>
        <v/>
      </c>
      <c r="U94" s="132" t="str">
        <f t="shared" si="9"/>
        <v/>
      </c>
      <c r="V94" s="130" t="str">
        <f>IF($B94="","",K94/(POWER(1+'Qredits maandlasten'!$C$8,$B94-1+1)))</f>
        <v/>
      </c>
      <c r="W94" s="129"/>
    </row>
    <row r="95" spans="1:23" s="134" customFormat="1" x14ac:dyDescent="0.2">
      <c r="A95" s="125"/>
      <c r="B95" s="126" t="str">
        <f>IF($B94="","",IF($B94+1&gt;'Qredits maandlasten'!$C$4,"",Schema!B94+1))</f>
        <v/>
      </c>
      <c r="C95" s="127" t="str">
        <f>IF($B94="","",IF($B94+1&gt;'Qredits maandlasten'!$C$4,"",EOMONTH(C94,0)+1))</f>
        <v/>
      </c>
      <c r="D95" s="125"/>
      <c r="E95" s="127" t="str">
        <f>IF($B94="","",IF($B94+1&gt;'Qredits maandlasten'!$C$4,"",F94+1))</f>
        <v/>
      </c>
      <c r="F95" s="127" t="str">
        <f>IF($B94="","",IF($B94+1&gt;'Qredits maandlasten'!$C$4,"",EOMONTH(E95,0)))</f>
        <v/>
      </c>
      <c r="G95" s="128" t="str">
        <f>IF($B94="","",IF($B94+1&gt;'Qredits maandlasten'!$C$4,"",(_xlfn.DAYS(F95,E95)+1)/DAY(F95)))</f>
        <v/>
      </c>
      <c r="H95" s="129"/>
      <c r="I95" s="130" t="str">
        <f>IF($B94="","",IF($B94+1&gt;'Qredits maandlasten'!$C$4,"",I94-J94))</f>
        <v/>
      </c>
      <c r="J95" s="130" t="str">
        <f>IF($B94="","",IF($B94+1&gt;'Qredits maandlasten'!$C$4,"",IF(B94&lt;'Qredits maandlasten'!$C$11-1,0,IF('Qredits maandlasten'!$C$10=dropdowns!$A$93,'Qredits maandlasten'!$J$3,IF('Qredits maandlasten'!$C$10=dropdowns!$A$92,IFERROR('Qredits maandlasten'!$J$3-K95,0),0)))))</f>
        <v/>
      </c>
      <c r="K95" s="130" t="str">
        <f>IF($B94="","",IF($B94+1&gt;'Qredits maandlasten'!$C$4,"",G95*I95*'Qredits maandlasten'!$C$8))</f>
        <v/>
      </c>
      <c r="L95" s="130" t="str">
        <f t="shared" si="7"/>
        <v/>
      </c>
      <c r="M95" s="130" t="str">
        <f t="shared" si="5"/>
        <v/>
      </c>
      <c r="N95" s="129"/>
      <c r="O95" s="131" t="str">
        <f>IF($B95="","",'Qredits maandlasten'!$C$8)</f>
        <v/>
      </c>
      <c r="P95" s="131" t="str">
        <f>IF($B95="","",'Qredits maandlasten'!$C$8*(POWER(1+'Qredits maandlasten'!$C$8,$B95-1+1)))</f>
        <v/>
      </c>
      <c r="Q95" s="131" t="str">
        <f t="shared" si="8"/>
        <v/>
      </c>
      <c r="R95" s="129"/>
      <c r="S95" s="130" t="str">
        <f t="shared" si="6"/>
        <v/>
      </c>
      <c r="T95" s="130" t="str">
        <f>IF(S95="","",J95/(POWER(1+'Qredits maandlasten'!$C$8,$B95-1+1)))</f>
        <v/>
      </c>
      <c r="U95" s="132" t="str">
        <f t="shared" si="9"/>
        <v/>
      </c>
      <c r="V95" s="130" t="str">
        <f>IF($B95="","",K95/(POWER(1+'Qredits maandlasten'!$C$8,$B95-1+1)))</f>
        <v/>
      </c>
      <c r="W95" s="129"/>
    </row>
    <row r="96" spans="1:23" s="134" customFormat="1" x14ac:dyDescent="0.2">
      <c r="A96" s="125"/>
      <c r="B96" s="126" t="str">
        <f>IF($B95="","",IF($B95+1&gt;'Qredits maandlasten'!$C$4,"",Schema!B95+1))</f>
        <v/>
      </c>
      <c r="C96" s="127" t="str">
        <f>IF($B95="","",IF($B95+1&gt;'Qredits maandlasten'!$C$4,"",EOMONTH(C95,0)+1))</f>
        <v/>
      </c>
      <c r="D96" s="125"/>
      <c r="E96" s="127" t="str">
        <f>IF($B95="","",IF($B95+1&gt;'Qredits maandlasten'!$C$4,"",F95+1))</f>
        <v/>
      </c>
      <c r="F96" s="127" t="str">
        <f>IF($B95="","",IF($B95+1&gt;'Qredits maandlasten'!$C$4,"",EOMONTH(E96,0)))</f>
        <v/>
      </c>
      <c r="G96" s="128" t="str">
        <f>IF($B95="","",IF($B95+1&gt;'Qredits maandlasten'!$C$4,"",(_xlfn.DAYS(F96,E96)+1)/DAY(F96)))</f>
        <v/>
      </c>
      <c r="H96" s="129"/>
      <c r="I96" s="130" t="str">
        <f>IF($B95="","",IF($B95+1&gt;'Qredits maandlasten'!$C$4,"",I95-J95))</f>
        <v/>
      </c>
      <c r="J96" s="130" t="str">
        <f>IF($B95="","",IF($B95+1&gt;'Qredits maandlasten'!$C$4,"",IF(B95&lt;'Qredits maandlasten'!$C$11-1,0,IF('Qredits maandlasten'!$C$10=dropdowns!$A$93,'Qredits maandlasten'!$J$3,IF('Qredits maandlasten'!$C$10=dropdowns!$A$92,IFERROR('Qredits maandlasten'!$J$3-K96,0),0)))))</f>
        <v/>
      </c>
      <c r="K96" s="130" t="str">
        <f>IF($B95="","",IF($B95+1&gt;'Qredits maandlasten'!$C$4,"",G96*I96*'Qredits maandlasten'!$C$8))</f>
        <v/>
      </c>
      <c r="L96" s="130" t="str">
        <f t="shared" si="7"/>
        <v/>
      </c>
      <c r="M96" s="130" t="str">
        <f t="shared" si="5"/>
        <v/>
      </c>
      <c r="N96" s="129"/>
      <c r="O96" s="131" t="str">
        <f>IF($B96="","",'Qredits maandlasten'!$C$8)</f>
        <v/>
      </c>
      <c r="P96" s="131" t="str">
        <f>IF($B96="","",'Qredits maandlasten'!$C$8*(POWER(1+'Qredits maandlasten'!$C$8,$B96-1+1)))</f>
        <v/>
      </c>
      <c r="Q96" s="131" t="str">
        <f t="shared" si="8"/>
        <v/>
      </c>
      <c r="R96" s="129"/>
      <c r="S96" s="130" t="str">
        <f t="shared" si="6"/>
        <v/>
      </c>
      <c r="T96" s="130" t="str">
        <f>IF(S96="","",J96/(POWER(1+'Qredits maandlasten'!$C$8,$B96-1+1)))</f>
        <v/>
      </c>
      <c r="U96" s="132" t="str">
        <f t="shared" si="9"/>
        <v/>
      </c>
      <c r="V96" s="130" t="str">
        <f>IF($B96="","",K96/(POWER(1+'Qredits maandlasten'!$C$8,$B96-1+1)))</f>
        <v/>
      </c>
      <c r="W96" s="129"/>
    </row>
    <row r="97" spans="1:23" s="134" customFormat="1" x14ac:dyDescent="0.2">
      <c r="A97" s="125"/>
      <c r="B97" s="126" t="str">
        <f>IF($B96="","",IF($B96+1&gt;'Qredits maandlasten'!$C$4,"",Schema!B96+1))</f>
        <v/>
      </c>
      <c r="C97" s="127" t="str">
        <f>IF($B96="","",IF($B96+1&gt;'Qredits maandlasten'!$C$4,"",EOMONTH(C96,0)+1))</f>
        <v/>
      </c>
      <c r="D97" s="125"/>
      <c r="E97" s="127" t="str">
        <f>IF($B96="","",IF($B96+1&gt;'Qredits maandlasten'!$C$4,"",F96+1))</f>
        <v/>
      </c>
      <c r="F97" s="127" t="str">
        <f>IF($B96="","",IF($B96+1&gt;'Qredits maandlasten'!$C$4,"",EOMONTH(E97,0)))</f>
        <v/>
      </c>
      <c r="G97" s="128" t="str">
        <f>IF($B96="","",IF($B96+1&gt;'Qredits maandlasten'!$C$4,"",(_xlfn.DAYS(F97,E97)+1)/DAY(F97)))</f>
        <v/>
      </c>
      <c r="H97" s="129"/>
      <c r="I97" s="130" t="str">
        <f>IF($B96="","",IF($B96+1&gt;'Qredits maandlasten'!$C$4,"",I96-J96))</f>
        <v/>
      </c>
      <c r="J97" s="130" t="str">
        <f>IF($B96="","",IF($B96+1&gt;'Qredits maandlasten'!$C$4,"",IF(B96&lt;'Qredits maandlasten'!$C$11-1,0,IF('Qredits maandlasten'!$C$10=dropdowns!$A$93,'Qredits maandlasten'!$J$3,IF('Qredits maandlasten'!$C$10=dropdowns!$A$92,IFERROR('Qredits maandlasten'!$J$3-K97,0),0)))))</f>
        <v/>
      </c>
      <c r="K97" s="130" t="str">
        <f>IF($B96="","",IF($B96+1&gt;'Qredits maandlasten'!$C$4,"",G97*I97*'Qredits maandlasten'!$C$8))</f>
        <v/>
      </c>
      <c r="L97" s="130" t="str">
        <f t="shared" si="7"/>
        <v/>
      </c>
      <c r="M97" s="130" t="str">
        <f t="shared" si="5"/>
        <v/>
      </c>
      <c r="N97" s="129"/>
      <c r="O97" s="131" t="str">
        <f>IF($B97="","",'Qredits maandlasten'!$C$8)</f>
        <v/>
      </c>
      <c r="P97" s="131" t="str">
        <f>IF($B97="","",'Qredits maandlasten'!$C$8*(POWER(1+'Qredits maandlasten'!$C$8,$B97-1+1)))</f>
        <v/>
      </c>
      <c r="Q97" s="131" t="str">
        <f t="shared" si="8"/>
        <v/>
      </c>
      <c r="R97" s="129"/>
      <c r="S97" s="130" t="str">
        <f t="shared" si="6"/>
        <v/>
      </c>
      <c r="T97" s="130" t="str">
        <f>IF(S97="","",J97/(POWER(1+'Qredits maandlasten'!$C$8,$B97-1+1)))</f>
        <v/>
      </c>
      <c r="U97" s="132" t="str">
        <f t="shared" si="9"/>
        <v/>
      </c>
      <c r="V97" s="130" t="str">
        <f>IF($B97="","",K97/(POWER(1+'Qredits maandlasten'!$C$8,$B97-1+1)))</f>
        <v/>
      </c>
      <c r="W97" s="129"/>
    </row>
    <row r="98" spans="1:23" s="134" customFormat="1" x14ac:dyDescent="0.2">
      <c r="A98" s="125"/>
      <c r="B98" s="126" t="str">
        <f>IF($B97="","",IF($B97+1&gt;'Qredits maandlasten'!$C$4,"",Schema!B97+1))</f>
        <v/>
      </c>
      <c r="C98" s="127" t="str">
        <f>IF($B97="","",IF($B97+1&gt;'Qredits maandlasten'!$C$4,"",EOMONTH(C97,0)+1))</f>
        <v/>
      </c>
      <c r="D98" s="125"/>
      <c r="E98" s="127" t="str">
        <f>IF($B97="","",IF($B97+1&gt;'Qredits maandlasten'!$C$4,"",F97+1))</f>
        <v/>
      </c>
      <c r="F98" s="127" t="str">
        <f>IF($B97="","",IF($B97+1&gt;'Qredits maandlasten'!$C$4,"",EOMONTH(E98,0)))</f>
        <v/>
      </c>
      <c r="G98" s="128" t="str">
        <f>IF($B97="","",IF($B97+1&gt;'Qredits maandlasten'!$C$4,"",(_xlfn.DAYS(F98,E98)+1)/DAY(F98)))</f>
        <v/>
      </c>
      <c r="H98" s="129"/>
      <c r="I98" s="130" t="str">
        <f>IF($B97="","",IF($B97+1&gt;'Qredits maandlasten'!$C$4,"",I97-J97))</f>
        <v/>
      </c>
      <c r="J98" s="130" t="str">
        <f>IF($B97="","",IF($B97+1&gt;'Qredits maandlasten'!$C$4,"",IF(B97&lt;'Qredits maandlasten'!$C$11-1,0,IF('Qredits maandlasten'!$C$10=dropdowns!$A$93,'Qredits maandlasten'!$J$3,IF('Qredits maandlasten'!$C$10=dropdowns!$A$92,IFERROR('Qredits maandlasten'!$J$3-K98,0),0)))))</f>
        <v/>
      </c>
      <c r="K98" s="130" t="str">
        <f>IF($B97="","",IF($B97+1&gt;'Qredits maandlasten'!$C$4,"",G98*I98*'Qredits maandlasten'!$C$8))</f>
        <v/>
      </c>
      <c r="L98" s="130" t="str">
        <f t="shared" si="7"/>
        <v/>
      </c>
      <c r="M98" s="130" t="str">
        <f t="shared" si="5"/>
        <v/>
      </c>
      <c r="N98" s="129"/>
      <c r="O98" s="131" t="str">
        <f>IF($B98="","",'Qredits maandlasten'!$C$8)</f>
        <v/>
      </c>
      <c r="P98" s="131" t="str">
        <f>IF($B98="","",'Qredits maandlasten'!$C$8*(POWER(1+'Qredits maandlasten'!$C$8,$B98-1+1)))</f>
        <v/>
      </c>
      <c r="Q98" s="131" t="str">
        <f t="shared" si="8"/>
        <v/>
      </c>
      <c r="R98" s="129"/>
      <c r="S98" s="130" t="str">
        <f t="shared" si="6"/>
        <v/>
      </c>
      <c r="T98" s="130" t="str">
        <f>IF(S98="","",J98/(POWER(1+'Qredits maandlasten'!$C$8,$B98-1+1)))</f>
        <v/>
      </c>
      <c r="U98" s="132" t="str">
        <f t="shared" si="9"/>
        <v/>
      </c>
      <c r="V98" s="130" t="str">
        <f>IF($B98="","",K98/(POWER(1+'Qredits maandlasten'!$C$8,$B98-1+1)))</f>
        <v/>
      </c>
      <c r="W98" s="129"/>
    </row>
    <row r="99" spans="1:23" s="134" customFormat="1" x14ac:dyDescent="0.2">
      <c r="A99" s="125"/>
      <c r="B99" s="126" t="str">
        <f>IF($B98="","",IF($B98+1&gt;'Qredits maandlasten'!$C$4,"",Schema!B98+1))</f>
        <v/>
      </c>
      <c r="C99" s="127" t="str">
        <f>IF($B98="","",IF($B98+1&gt;'Qredits maandlasten'!$C$4,"",EOMONTH(C98,0)+1))</f>
        <v/>
      </c>
      <c r="D99" s="125"/>
      <c r="E99" s="127" t="str">
        <f>IF($B98="","",IF($B98+1&gt;'Qredits maandlasten'!$C$4,"",F98+1))</f>
        <v/>
      </c>
      <c r="F99" s="127" t="str">
        <f>IF($B98="","",IF($B98+1&gt;'Qredits maandlasten'!$C$4,"",EOMONTH(E99,0)))</f>
        <v/>
      </c>
      <c r="G99" s="128" t="str">
        <f>IF($B98="","",IF($B98+1&gt;'Qredits maandlasten'!$C$4,"",(_xlfn.DAYS(F99,E99)+1)/DAY(F99)))</f>
        <v/>
      </c>
      <c r="H99" s="129"/>
      <c r="I99" s="130" t="str">
        <f>IF($B98="","",IF($B98+1&gt;'Qredits maandlasten'!$C$4,"",I98-J98))</f>
        <v/>
      </c>
      <c r="J99" s="130" t="str">
        <f>IF($B98="","",IF($B98+1&gt;'Qredits maandlasten'!$C$4,"",IF(B98&lt;'Qredits maandlasten'!$C$11-1,0,IF('Qredits maandlasten'!$C$10=dropdowns!$A$93,'Qredits maandlasten'!$J$3,IF('Qredits maandlasten'!$C$10=dropdowns!$A$92,IFERROR('Qredits maandlasten'!$J$3-K99,0),0)))))</f>
        <v/>
      </c>
      <c r="K99" s="130" t="str">
        <f>IF($B98="","",IF($B98+1&gt;'Qredits maandlasten'!$C$4,"",G99*I99*'Qredits maandlasten'!$C$8))</f>
        <v/>
      </c>
      <c r="L99" s="130" t="str">
        <f t="shared" si="7"/>
        <v/>
      </c>
      <c r="M99" s="130" t="str">
        <f t="shared" si="5"/>
        <v/>
      </c>
      <c r="N99" s="129"/>
      <c r="O99" s="131" t="str">
        <f>IF($B99="","",'Qredits maandlasten'!$C$8)</f>
        <v/>
      </c>
      <c r="P99" s="131" t="str">
        <f>IF($B99="","",'Qredits maandlasten'!$C$8*(POWER(1+'Qredits maandlasten'!$C$8,$B99-1+1)))</f>
        <v/>
      </c>
      <c r="Q99" s="131" t="str">
        <f t="shared" si="8"/>
        <v/>
      </c>
      <c r="R99" s="129"/>
      <c r="S99" s="130" t="str">
        <f t="shared" si="6"/>
        <v/>
      </c>
      <c r="T99" s="130" t="str">
        <f>IF(S99="","",J99/(POWER(1+'Qredits maandlasten'!$C$8,$B99-1+1)))</f>
        <v/>
      </c>
      <c r="U99" s="132" t="str">
        <f t="shared" si="9"/>
        <v/>
      </c>
      <c r="V99" s="130" t="str">
        <f>IF($B99="","",K99/(POWER(1+'Qredits maandlasten'!$C$8,$B99-1+1)))</f>
        <v/>
      </c>
      <c r="W99" s="129"/>
    </row>
    <row r="100" spans="1:23" s="134" customFormat="1" x14ac:dyDescent="0.2">
      <c r="A100" s="125"/>
      <c r="B100" s="126" t="str">
        <f>IF($B99="","",IF($B99+1&gt;'Qredits maandlasten'!$C$4,"",Schema!B99+1))</f>
        <v/>
      </c>
      <c r="C100" s="127" t="str">
        <f>IF($B99="","",IF($B99+1&gt;'Qredits maandlasten'!$C$4,"",EOMONTH(C99,0)+1))</f>
        <v/>
      </c>
      <c r="D100" s="125"/>
      <c r="E100" s="127" t="str">
        <f>IF($B99="","",IF($B99+1&gt;'Qredits maandlasten'!$C$4,"",F99+1))</f>
        <v/>
      </c>
      <c r="F100" s="127" t="str">
        <f>IF($B99="","",IF($B99+1&gt;'Qredits maandlasten'!$C$4,"",EOMONTH(E100,0)))</f>
        <v/>
      </c>
      <c r="G100" s="128" t="str">
        <f>IF($B99="","",IF($B99+1&gt;'Qredits maandlasten'!$C$4,"",(_xlfn.DAYS(F100,E100)+1)/DAY(F100)))</f>
        <v/>
      </c>
      <c r="H100" s="129"/>
      <c r="I100" s="130" t="str">
        <f>IF($B99="","",IF($B99+1&gt;'Qredits maandlasten'!$C$4,"",I99-J99))</f>
        <v/>
      </c>
      <c r="J100" s="130" t="str">
        <f>IF($B99="","",IF($B99+1&gt;'Qredits maandlasten'!$C$4,"",IF(B99&lt;'Qredits maandlasten'!$C$11-1,0,IF('Qredits maandlasten'!$C$10=dropdowns!$A$93,'Qredits maandlasten'!$J$3,IF('Qredits maandlasten'!$C$10=dropdowns!$A$92,IFERROR('Qredits maandlasten'!$J$3-K100,0),0)))))</f>
        <v/>
      </c>
      <c r="K100" s="130" t="str">
        <f>IF($B99="","",IF($B99+1&gt;'Qredits maandlasten'!$C$4,"",G100*I100*'Qredits maandlasten'!$C$8))</f>
        <v/>
      </c>
      <c r="L100" s="130" t="str">
        <f t="shared" si="7"/>
        <v/>
      </c>
      <c r="M100" s="130" t="str">
        <f t="shared" si="5"/>
        <v/>
      </c>
      <c r="N100" s="129"/>
      <c r="O100" s="131" t="str">
        <f>IF($B100="","",'Qredits maandlasten'!$C$8)</f>
        <v/>
      </c>
      <c r="P100" s="131" t="str">
        <f>IF($B100="","",'Qredits maandlasten'!$C$8*(POWER(1+'Qredits maandlasten'!$C$8,$B100-1+1)))</f>
        <v/>
      </c>
      <c r="Q100" s="131" t="str">
        <f t="shared" si="8"/>
        <v/>
      </c>
      <c r="R100" s="129"/>
      <c r="S100" s="130" t="str">
        <f t="shared" si="6"/>
        <v/>
      </c>
      <c r="T100" s="130" t="str">
        <f>IF(S100="","",J100/(POWER(1+'Qredits maandlasten'!$C$8,$B100-1+1)))</f>
        <v/>
      </c>
      <c r="U100" s="132" t="str">
        <f t="shared" si="9"/>
        <v/>
      </c>
      <c r="V100" s="130" t="str">
        <f>IF($B100="","",K100/(POWER(1+'Qredits maandlasten'!$C$8,$B100-1+1)))</f>
        <v/>
      </c>
      <c r="W100" s="129"/>
    </row>
    <row r="101" spans="1:23" s="134" customFormat="1" x14ac:dyDescent="0.2">
      <c r="A101" s="125"/>
      <c r="B101" s="126" t="str">
        <f>IF($B100="","",IF($B100+1&gt;'Qredits maandlasten'!$C$4,"",Schema!B100+1))</f>
        <v/>
      </c>
      <c r="C101" s="127" t="str">
        <f>IF($B100="","",IF($B100+1&gt;'Qredits maandlasten'!$C$4,"",EOMONTH(C100,0)+1))</f>
        <v/>
      </c>
      <c r="D101" s="125"/>
      <c r="E101" s="127" t="str">
        <f>IF($B100="","",IF($B100+1&gt;'Qredits maandlasten'!$C$4,"",F100+1))</f>
        <v/>
      </c>
      <c r="F101" s="127" t="str">
        <f>IF($B100="","",IF($B100+1&gt;'Qredits maandlasten'!$C$4,"",EOMONTH(E101,0)))</f>
        <v/>
      </c>
      <c r="G101" s="128" t="str">
        <f>IF($B100="","",IF($B100+1&gt;'Qredits maandlasten'!$C$4,"",(_xlfn.DAYS(F101,E101)+1)/DAY(F101)))</f>
        <v/>
      </c>
      <c r="H101" s="129"/>
      <c r="I101" s="130" t="str">
        <f>IF($B100="","",IF($B100+1&gt;'Qredits maandlasten'!$C$4,"",I100-J100))</f>
        <v/>
      </c>
      <c r="J101" s="130" t="str">
        <f>IF($B100="","",IF($B100+1&gt;'Qredits maandlasten'!$C$4,"",IF(B100&lt;'Qredits maandlasten'!$C$11-1,0,IF('Qredits maandlasten'!$C$10=dropdowns!$A$93,'Qredits maandlasten'!$J$3,IF('Qredits maandlasten'!$C$10=dropdowns!$A$92,IFERROR('Qredits maandlasten'!$J$3-K101,0),0)))))</f>
        <v/>
      </c>
      <c r="K101" s="130" t="str">
        <f>IF($B100="","",IF($B100+1&gt;'Qredits maandlasten'!$C$4,"",G101*I101*'Qredits maandlasten'!$C$8))</f>
        <v/>
      </c>
      <c r="L101" s="130" t="str">
        <f t="shared" si="7"/>
        <v/>
      </c>
      <c r="M101" s="130" t="str">
        <f t="shared" si="5"/>
        <v/>
      </c>
      <c r="N101" s="129"/>
      <c r="O101" s="131" t="str">
        <f>IF($B101="","",'Qredits maandlasten'!$C$8)</f>
        <v/>
      </c>
      <c r="P101" s="131" t="str">
        <f>IF($B101="","",'Qredits maandlasten'!$C$8*(POWER(1+'Qredits maandlasten'!$C$8,$B101-1+1)))</f>
        <v/>
      </c>
      <c r="Q101" s="131" t="str">
        <f t="shared" si="8"/>
        <v/>
      </c>
      <c r="R101" s="129"/>
      <c r="S101" s="130" t="str">
        <f t="shared" si="6"/>
        <v/>
      </c>
      <c r="T101" s="130" t="str">
        <f>IF(S101="","",J101/(POWER(1+'Qredits maandlasten'!$C$8,$B101-1+1)))</f>
        <v/>
      </c>
      <c r="U101" s="132" t="str">
        <f t="shared" si="9"/>
        <v/>
      </c>
      <c r="V101" s="130" t="str">
        <f>IF($B101="","",K101/(POWER(1+'Qredits maandlasten'!$C$8,$B101-1+1)))</f>
        <v/>
      </c>
      <c r="W101" s="129"/>
    </row>
    <row r="102" spans="1:23" s="134" customFormat="1" x14ac:dyDescent="0.2">
      <c r="A102" s="125"/>
      <c r="B102" s="126" t="str">
        <f>IF($B101="","",IF($B101+1&gt;'Qredits maandlasten'!$C$4,"",Schema!B101+1))</f>
        <v/>
      </c>
      <c r="C102" s="127" t="str">
        <f>IF($B101="","",IF($B101+1&gt;'Qredits maandlasten'!$C$4,"",EOMONTH(C101,0)+1))</f>
        <v/>
      </c>
      <c r="D102" s="125"/>
      <c r="E102" s="127" t="str">
        <f>IF($B101="","",IF($B101+1&gt;'Qredits maandlasten'!$C$4,"",F101+1))</f>
        <v/>
      </c>
      <c r="F102" s="127" t="str">
        <f>IF($B101="","",IF($B101+1&gt;'Qredits maandlasten'!$C$4,"",EOMONTH(E102,0)))</f>
        <v/>
      </c>
      <c r="G102" s="128" t="str">
        <f>IF($B101="","",IF($B101+1&gt;'Qredits maandlasten'!$C$4,"",(_xlfn.DAYS(F102,E102)+1)/DAY(F102)))</f>
        <v/>
      </c>
      <c r="H102" s="129"/>
      <c r="I102" s="130" t="str">
        <f>IF($B101="","",IF($B101+1&gt;'Qredits maandlasten'!$C$4,"",I101-J101))</f>
        <v/>
      </c>
      <c r="J102" s="130" t="str">
        <f>IF($B101="","",IF($B101+1&gt;'Qredits maandlasten'!$C$4,"",IF(B101&lt;'Qredits maandlasten'!$C$11-1,0,IF('Qredits maandlasten'!$C$10=dropdowns!$A$93,'Qredits maandlasten'!$J$3,IF('Qredits maandlasten'!$C$10=dropdowns!$A$92,IFERROR('Qredits maandlasten'!$J$3-K102,0),0)))))</f>
        <v/>
      </c>
      <c r="K102" s="130" t="str">
        <f>IF($B101="","",IF($B101+1&gt;'Qredits maandlasten'!$C$4,"",G102*I102*'Qredits maandlasten'!$C$8))</f>
        <v/>
      </c>
      <c r="L102" s="130" t="str">
        <f t="shared" si="7"/>
        <v/>
      </c>
      <c r="M102" s="130" t="str">
        <f t="shared" si="5"/>
        <v/>
      </c>
      <c r="N102" s="129"/>
      <c r="O102" s="131" t="str">
        <f>IF($B102="","",'Qredits maandlasten'!$C$8)</f>
        <v/>
      </c>
      <c r="P102" s="131" t="str">
        <f>IF($B102="","",'Qredits maandlasten'!$C$8*(POWER(1+'Qredits maandlasten'!$C$8,$B102-1+1)))</f>
        <v/>
      </c>
      <c r="Q102" s="131" t="str">
        <f t="shared" si="8"/>
        <v/>
      </c>
      <c r="R102" s="129"/>
      <c r="S102" s="130" t="str">
        <f t="shared" si="6"/>
        <v/>
      </c>
      <c r="T102" s="130" t="str">
        <f>IF(S102="","",J102/(POWER(1+'Qredits maandlasten'!$C$8,$B102-1+1)))</f>
        <v/>
      </c>
      <c r="U102" s="132" t="str">
        <f t="shared" si="9"/>
        <v/>
      </c>
      <c r="V102" s="130" t="str">
        <f>IF($B102="","",K102/(POWER(1+'Qredits maandlasten'!$C$8,$B102-1+1)))</f>
        <v/>
      </c>
      <c r="W102" s="129"/>
    </row>
    <row r="103" spans="1:23" s="134" customFormat="1" x14ac:dyDescent="0.2">
      <c r="A103" s="125"/>
      <c r="B103" s="126" t="str">
        <f>IF($B102="","",IF($B102+1&gt;'Qredits maandlasten'!$C$4,"",Schema!B102+1))</f>
        <v/>
      </c>
      <c r="C103" s="127" t="str">
        <f>IF($B102="","",IF($B102+1&gt;'Qredits maandlasten'!$C$4,"",EOMONTH(C102,0)+1))</f>
        <v/>
      </c>
      <c r="D103" s="125"/>
      <c r="E103" s="127" t="str">
        <f>IF($B102="","",IF($B102+1&gt;'Qredits maandlasten'!$C$4,"",F102+1))</f>
        <v/>
      </c>
      <c r="F103" s="127" t="str">
        <f>IF($B102="","",IF($B102+1&gt;'Qredits maandlasten'!$C$4,"",EOMONTH(E103,0)))</f>
        <v/>
      </c>
      <c r="G103" s="128" t="str">
        <f>IF($B102="","",IF($B102+1&gt;'Qredits maandlasten'!$C$4,"",(_xlfn.DAYS(F103,E103)+1)/DAY(F103)))</f>
        <v/>
      </c>
      <c r="H103" s="129"/>
      <c r="I103" s="130" t="str">
        <f>IF($B102="","",IF($B102+1&gt;'Qredits maandlasten'!$C$4,"",I102-J102))</f>
        <v/>
      </c>
      <c r="J103" s="130" t="str">
        <f>IF($B102="","",IF($B102+1&gt;'Qredits maandlasten'!$C$4,"",IF(B102&lt;'Qredits maandlasten'!$C$11-1,0,IF('Qredits maandlasten'!$C$10=dropdowns!$A$93,'Qredits maandlasten'!$J$3,IF('Qredits maandlasten'!$C$10=dropdowns!$A$92,IFERROR('Qredits maandlasten'!$J$3-K103,0),0)))))</f>
        <v/>
      </c>
      <c r="K103" s="130" t="str">
        <f>IF($B102="","",IF($B102+1&gt;'Qredits maandlasten'!$C$4,"",G103*I103*'Qredits maandlasten'!$C$8))</f>
        <v/>
      </c>
      <c r="L103" s="130" t="str">
        <f t="shared" si="7"/>
        <v/>
      </c>
      <c r="M103" s="130" t="str">
        <f t="shared" si="5"/>
        <v/>
      </c>
      <c r="N103" s="129"/>
      <c r="O103" s="131" t="str">
        <f>IF($B103="","",'Qredits maandlasten'!$C$8)</f>
        <v/>
      </c>
      <c r="P103" s="131" t="str">
        <f>IF($B103="","",'Qredits maandlasten'!$C$8*(POWER(1+'Qredits maandlasten'!$C$8,$B103-1+1)))</f>
        <v/>
      </c>
      <c r="Q103" s="131" t="str">
        <f t="shared" si="8"/>
        <v/>
      </c>
      <c r="R103" s="129"/>
      <c r="S103" s="130" t="str">
        <f t="shared" si="6"/>
        <v/>
      </c>
      <c r="T103" s="130" t="str">
        <f>IF(S103="","",J103/(POWER(1+'Qredits maandlasten'!$C$8,$B103-1+1)))</f>
        <v/>
      </c>
      <c r="U103" s="132" t="str">
        <f t="shared" si="9"/>
        <v/>
      </c>
      <c r="V103" s="130" t="str">
        <f>IF($B103="","",K103/(POWER(1+'Qredits maandlasten'!$C$8,$B103-1+1)))</f>
        <v/>
      </c>
      <c r="W103" s="129"/>
    </row>
    <row r="104" spans="1:23" s="134" customFormat="1" x14ac:dyDescent="0.2">
      <c r="A104" s="125"/>
      <c r="B104" s="126" t="str">
        <f>IF($B103="","",IF($B103+1&gt;'Qredits maandlasten'!$C$4,"",Schema!B103+1))</f>
        <v/>
      </c>
      <c r="C104" s="127" t="str">
        <f>IF($B103="","",IF($B103+1&gt;'Qredits maandlasten'!$C$4,"",EOMONTH(C103,0)+1))</f>
        <v/>
      </c>
      <c r="D104" s="125"/>
      <c r="E104" s="127" t="str">
        <f>IF($B103="","",IF($B103+1&gt;'Qredits maandlasten'!$C$4,"",F103+1))</f>
        <v/>
      </c>
      <c r="F104" s="127" t="str">
        <f>IF($B103="","",IF($B103+1&gt;'Qredits maandlasten'!$C$4,"",EOMONTH(E104,0)))</f>
        <v/>
      </c>
      <c r="G104" s="128" t="str">
        <f>IF($B103="","",IF($B103+1&gt;'Qredits maandlasten'!$C$4,"",(_xlfn.DAYS(F104,E104)+1)/DAY(F104)))</f>
        <v/>
      </c>
      <c r="H104" s="129"/>
      <c r="I104" s="130" t="str">
        <f>IF($B103="","",IF($B103+1&gt;'Qredits maandlasten'!$C$4,"",I103-J103))</f>
        <v/>
      </c>
      <c r="J104" s="130" t="str">
        <f>IF($B103="","",IF($B103+1&gt;'Qredits maandlasten'!$C$4,"",IF(B103&lt;'Qredits maandlasten'!$C$11-1,0,IF('Qredits maandlasten'!$C$10=dropdowns!$A$93,'Qredits maandlasten'!$J$3,IF('Qredits maandlasten'!$C$10=dropdowns!$A$92,IFERROR('Qredits maandlasten'!$J$3-K104,0),0)))))</f>
        <v/>
      </c>
      <c r="K104" s="130" t="str">
        <f>IF($B103="","",IF($B103+1&gt;'Qredits maandlasten'!$C$4,"",G104*I104*'Qredits maandlasten'!$C$8))</f>
        <v/>
      </c>
      <c r="L104" s="130" t="str">
        <f t="shared" si="7"/>
        <v/>
      </c>
      <c r="M104" s="130" t="str">
        <f t="shared" si="5"/>
        <v/>
      </c>
      <c r="N104" s="129"/>
      <c r="O104" s="131" t="str">
        <f>IF($B104="","",'Qredits maandlasten'!$C$8)</f>
        <v/>
      </c>
      <c r="P104" s="131" t="str">
        <f>IF($B104="","",'Qredits maandlasten'!$C$8*(POWER(1+'Qredits maandlasten'!$C$8,$B104-1+1)))</f>
        <v/>
      </c>
      <c r="Q104" s="131" t="str">
        <f t="shared" si="8"/>
        <v/>
      </c>
      <c r="R104" s="129"/>
      <c r="S104" s="130" t="str">
        <f t="shared" si="6"/>
        <v/>
      </c>
      <c r="T104" s="130" t="str">
        <f>IF(S104="","",J104/(POWER(1+'Qredits maandlasten'!$C$8,$B104-1+1)))</f>
        <v/>
      </c>
      <c r="U104" s="132" t="str">
        <f t="shared" si="9"/>
        <v/>
      </c>
      <c r="V104" s="130" t="str">
        <f>IF($B104="","",K104/(POWER(1+'Qredits maandlasten'!$C$8,$B104-1+1)))</f>
        <v/>
      </c>
      <c r="W104" s="129"/>
    </row>
    <row r="105" spans="1:23" s="134" customFormat="1" x14ac:dyDescent="0.2">
      <c r="A105" s="125"/>
      <c r="B105" s="126" t="str">
        <f>IF($B104="","",IF($B104+1&gt;'Qredits maandlasten'!$C$4,"",Schema!B104+1))</f>
        <v/>
      </c>
      <c r="C105" s="127" t="str">
        <f>IF($B104="","",IF($B104+1&gt;'Qredits maandlasten'!$C$4,"",EOMONTH(C104,0)+1))</f>
        <v/>
      </c>
      <c r="D105" s="125"/>
      <c r="E105" s="127" t="str">
        <f>IF($B104="","",IF($B104+1&gt;'Qredits maandlasten'!$C$4,"",F104+1))</f>
        <v/>
      </c>
      <c r="F105" s="127" t="str">
        <f>IF($B104="","",IF($B104+1&gt;'Qredits maandlasten'!$C$4,"",EOMONTH(E105,0)))</f>
        <v/>
      </c>
      <c r="G105" s="128" t="str">
        <f>IF($B104="","",IF($B104+1&gt;'Qredits maandlasten'!$C$4,"",(_xlfn.DAYS(F105,E105)+1)/DAY(F105)))</f>
        <v/>
      </c>
      <c r="H105" s="129"/>
      <c r="I105" s="130" t="str">
        <f>IF($B104="","",IF($B104+1&gt;'Qredits maandlasten'!$C$4,"",I104-J104))</f>
        <v/>
      </c>
      <c r="J105" s="130" t="str">
        <f>IF($B104="","",IF($B104+1&gt;'Qredits maandlasten'!$C$4,"",IF(B104&lt;'Qredits maandlasten'!$C$11-1,0,IF('Qredits maandlasten'!$C$10=dropdowns!$A$93,'Qredits maandlasten'!$J$3,IF('Qredits maandlasten'!$C$10=dropdowns!$A$92,IFERROR('Qredits maandlasten'!$J$3-K105,0),0)))))</f>
        <v/>
      </c>
      <c r="K105" s="130" t="str">
        <f>IF($B104="","",IF($B104+1&gt;'Qredits maandlasten'!$C$4,"",G105*I105*'Qredits maandlasten'!$C$8))</f>
        <v/>
      </c>
      <c r="L105" s="130" t="str">
        <f t="shared" si="7"/>
        <v/>
      </c>
      <c r="M105" s="130" t="str">
        <f t="shared" si="5"/>
        <v/>
      </c>
      <c r="N105" s="129"/>
      <c r="O105" s="131" t="str">
        <f>IF($B105="","",'Qredits maandlasten'!$C$8)</f>
        <v/>
      </c>
      <c r="P105" s="131" t="str">
        <f>IF($B105="","",'Qredits maandlasten'!$C$8*(POWER(1+'Qredits maandlasten'!$C$8,$B105-1+1)))</f>
        <v/>
      </c>
      <c r="Q105" s="131" t="str">
        <f t="shared" si="8"/>
        <v/>
      </c>
      <c r="R105" s="129"/>
      <c r="S105" s="130" t="str">
        <f t="shared" si="6"/>
        <v/>
      </c>
      <c r="T105" s="130" t="str">
        <f>IF(S105="","",J105/(POWER(1+'Qredits maandlasten'!$C$8,$B105-1+1)))</f>
        <v/>
      </c>
      <c r="U105" s="132" t="str">
        <f t="shared" si="9"/>
        <v/>
      </c>
      <c r="V105" s="130" t="str">
        <f>IF($B105="","",K105/(POWER(1+'Qredits maandlasten'!$C$8,$B105-1+1)))</f>
        <v/>
      </c>
      <c r="W105" s="129"/>
    </row>
    <row r="106" spans="1:23" s="134" customFormat="1" x14ac:dyDescent="0.2">
      <c r="A106" s="125"/>
      <c r="B106" s="126" t="str">
        <f>IF($B105="","",IF($B105+1&gt;'Qredits maandlasten'!$C$4,"",Schema!B105+1))</f>
        <v/>
      </c>
      <c r="C106" s="127" t="str">
        <f>IF($B105="","",IF($B105+1&gt;'Qredits maandlasten'!$C$4,"",EOMONTH(C105,0)+1))</f>
        <v/>
      </c>
      <c r="D106" s="125"/>
      <c r="E106" s="127" t="str">
        <f>IF($B105="","",IF($B105+1&gt;'Qredits maandlasten'!$C$4,"",F105+1))</f>
        <v/>
      </c>
      <c r="F106" s="127" t="str">
        <f>IF($B105="","",IF($B105+1&gt;'Qredits maandlasten'!$C$4,"",EOMONTH(E106,0)))</f>
        <v/>
      </c>
      <c r="G106" s="128" t="str">
        <f>IF($B105="","",IF($B105+1&gt;'Qredits maandlasten'!$C$4,"",(_xlfn.DAYS(F106,E106)+1)/DAY(F106)))</f>
        <v/>
      </c>
      <c r="H106" s="129"/>
      <c r="I106" s="130" t="str">
        <f>IF($B105="","",IF($B105+1&gt;'Qredits maandlasten'!$C$4,"",I105-J105))</f>
        <v/>
      </c>
      <c r="J106" s="130" t="str">
        <f>IF($B105="","",IF($B105+1&gt;'Qredits maandlasten'!$C$4,"",IF(B105&lt;'Qredits maandlasten'!$C$11-1,0,IF('Qredits maandlasten'!$C$10=dropdowns!$A$93,'Qredits maandlasten'!$J$3,IF('Qredits maandlasten'!$C$10=dropdowns!$A$92,IFERROR('Qredits maandlasten'!$J$3-K106,0),0)))))</f>
        <v/>
      </c>
      <c r="K106" s="130" t="str">
        <f>IF($B105="","",IF($B105+1&gt;'Qredits maandlasten'!$C$4,"",G106*I106*'Qredits maandlasten'!$C$8))</f>
        <v/>
      </c>
      <c r="L106" s="130" t="str">
        <f t="shared" si="7"/>
        <v/>
      </c>
      <c r="M106" s="130" t="str">
        <f t="shared" si="5"/>
        <v/>
      </c>
      <c r="N106" s="129"/>
      <c r="O106" s="131" t="str">
        <f>IF($B106="","",'Qredits maandlasten'!$C$8)</f>
        <v/>
      </c>
      <c r="P106" s="131" t="str">
        <f>IF($B106="","",'Qredits maandlasten'!$C$8*(POWER(1+'Qredits maandlasten'!$C$8,$B106-1+1)))</f>
        <v/>
      </c>
      <c r="Q106" s="131" t="str">
        <f t="shared" si="8"/>
        <v/>
      </c>
      <c r="R106" s="129"/>
      <c r="S106" s="130" t="str">
        <f t="shared" si="6"/>
        <v/>
      </c>
      <c r="T106" s="130" t="str">
        <f>IF(S106="","",J106/(POWER(1+'Qredits maandlasten'!$C$8,$B106-1+1)))</f>
        <v/>
      </c>
      <c r="U106" s="132" t="str">
        <f t="shared" si="9"/>
        <v/>
      </c>
      <c r="V106" s="130" t="str">
        <f>IF($B106="","",K106/(POWER(1+'Qredits maandlasten'!$C$8,$B106-1+1)))</f>
        <v/>
      </c>
      <c r="W106" s="129"/>
    </row>
    <row r="107" spans="1:23" s="134" customFormat="1" x14ac:dyDescent="0.2">
      <c r="A107" s="125"/>
      <c r="B107" s="126" t="str">
        <f>IF($B106="","",IF($B106+1&gt;'Qredits maandlasten'!$C$4,"",Schema!B106+1))</f>
        <v/>
      </c>
      <c r="C107" s="127" t="str">
        <f>IF($B106="","",IF($B106+1&gt;'Qredits maandlasten'!$C$4,"",EOMONTH(C106,0)+1))</f>
        <v/>
      </c>
      <c r="D107" s="125"/>
      <c r="E107" s="127" t="str">
        <f>IF($B106="","",IF($B106+1&gt;'Qredits maandlasten'!$C$4,"",F106+1))</f>
        <v/>
      </c>
      <c r="F107" s="127" t="str">
        <f>IF($B106="","",IF($B106+1&gt;'Qredits maandlasten'!$C$4,"",EOMONTH(E107,0)))</f>
        <v/>
      </c>
      <c r="G107" s="128" t="str">
        <f>IF($B106="","",IF($B106+1&gt;'Qredits maandlasten'!$C$4,"",(_xlfn.DAYS(F107,E107)+1)/DAY(F107)))</f>
        <v/>
      </c>
      <c r="H107" s="129"/>
      <c r="I107" s="130" t="str">
        <f>IF($B106="","",IF($B106+1&gt;'Qredits maandlasten'!$C$4,"",I106-J106))</f>
        <v/>
      </c>
      <c r="J107" s="130" t="str">
        <f>IF($B106="","",IF($B106+1&gt;'Qredits maandlasten'!$C$4,"",IF(B106&lt;'Qredits maandlasten'!$C$11-1,0,IF('Qredits maandlasten'!$C$10=dropdowns!$A$93,'Qredits maandlasten'!$J$3,IF('Qredits maandlasten'!$C$10=dropdowns!$A$92,IFERROR('Qredits maandlasten'!$J$3-K107,0),0)))))</f>
        <v/>
      </c>
      <c r="K107" s="130" t="str">
        <f>IF($B106="","",IF($B106+1&gt;'Qredits maandlasten'!$C$4,"",G107*I107*'Qredits maandlasten'!$C$8))</f>
        <v/>
      </c>
      <c r="L107" s="130" t="str">
        <f t="shared" si="7"/>
        <v/>
      </c>
      <c r="M107" s="130" t="str">
        <f t="shared" si="5"/>
        <v/>
      </c>
      <c r="N107" s="129"/>
      <c r="O107" s="131" t="str">
        <f>IF($B107="","",'Qredits maandlasten'!$C$8)</f>
        <v/>
      </c>
      <c r="P107" s="131" t="str">
        <f>IF($B107="","",'Qredits maandlasten'!$C$8*(POWER(1+'Qredits maandlasten'!$C$8,$B107-1+1)))</f>
        <v/>
      </c>
      <c r="Q107" s="131" t="str">
        <f t="shared" si="8"/>
        <v/>
      </c>
      <c r="R107" s="129"/>
      <c r="S107" s="130" t="str">
        <f t="shared" si="6"/>
        <v/>
      </c>
      <c r="T107" s="130" t="str">
        <f>IF(S107="","",J107/(POWER(1+'Qredits maandlasten'!$C$8,$B107-1+1)))</f>
        <v/>
      </c>
      <c r="U107" s="132" t="str">
        <f t="shared" si="9"/>
        <v/>
      </c>
      <c r="V107" s="130" t="str">
        <f>IF($B107="","",K107/(POWER(1+'Qredits maandlasten'!$C$8,$B107-1+1)))</f>
        <v/>
      </c>
      <c r="W107" s="129"/>
    </row>
    <row r="108" spans="1:23" s="134" customFormat="1" x14ac:dyDescent="0.2">
      <c r="A108" s="125"/>
      <c r="B108" s="126" t="str">
        <f>IF($B107="","",IF($B107+1&gt;'Qredits maandlasten'!$C$4,"",Schema!B107+1))</f>
        <v/>
      </c>
      <c r="C108" s="127" t="str">
        <f>IF($B107="","",IF($B107+1&gt;'Qredits maandlasten'!$C$4,"",EOMONTH(C107,0)+1))</f>
        <v/>
      </c>
      <c r="D108" s="125"/>
      <c r="E108" s="127" t="str">
        <f>IF($B107="","",IF($B107+1&gt;'Qredits maandlasten'!$C$4,"",F107+1))</f>
        <v/>
      </c>
      <c r="F108" s="127" t="str">
        <f>IF($B107="","",IF($B107+1&gt;'Qredits maandlasten'!$C$4,"",EOMONTH(E108,0)))</f>
        <v/>
      </c>
      <c r="G108" s="128" t="str">
        <f>IF($B107="","",IF($B107+1&gt;'Qredits maandlasten'!$C$4,"",(_xlfn.DAYS(F108,E108)+1)/DAY(F108)))</f>
        <v/>
      </c>
      <c r="H108" s="129"/>
      <c r="I108" s="130" t="str">
        <f>IF($B107="","",IF($B107+1&gt;'Qredits maandlasten'!$C$4,"",I107-J107))</f>
        <v/>
      </c>
      <c r="J108" s="130" t="str">
        <f>IF($B107="","",IF($B107+1&gt;'Qredits maandlasten'!$C$4,"",IF(B107&lt;'Qredits maandlasten'!$C$11-1,0,IF('Qredits maandlasten'!$C$10=dropdowns!$A$93,'Qredits maandlasten'!$J$3,IF('Qredits maandlasten'!$C$10=dropdowns!$A$92,IFERROR('Qredits maandlasten'!$J$3-K108,0),0)))))</f>
        <v/>
      </c>
      <c r="K108" s="130" t="str">
        <f>IF($B107="","",IF($B107+1&gt;'Qredits maandlasten'!$C$4,"",G108*I108*'Qredits maandlasten'!$C$8))</f>
        <v/>
      </c>
      <c r="L108" s="130" t="str">
        <f t="shared" si="7"/>
        <v/>
      </c>
      <c r="M108" s="130" t="str">
        <f t="shared" si="5"/>
        <v/>
      </c>
      <c r="N108" s="129"/>
      <c r="O108" s="131" t="str">
        <f>IF($B108="","",'Qredits maandlasten'!$C$8)</f>
        <v/>
      </c>
      <c r="P108" s="131" t="str">
        <f>IF($B108="","",'Qredits maandlasten'!$C$8*(POWER(1+'Qredits maandlasten'!$C$8,$B108-1+1)))</f>
        <v/>
      </c>
      <c r="Q108" s="131" t="str">
        <f t="shared" si="8"/>
        <v/>
      </c>
      <c r="R108" s="129"/>
      <c r="S108" s="130" t="str">
        <f t="shared" si="6"/>
        <v/>
      </c>
      <c r="T108" s="130" t="str">
        <f>IF(S108="","",J108/(POWER(1+'Qredits maandlasten'!$C$8,$B108-1+1)))</f>
        <v/>
      </c>
      <c r="U108" s="132" t="str">
        <f t="shared" si="9"/>
        <v/>
      </c>
      <c r="V108" s="130" t="str">
        <f>IF($B108="","",K108/(POWER(1+'Qredits maandlasten'!$C$8,$B108-1+1)))</f>
        <v/>
      </c>
      <c r="W108" s="129"/>
    </row>
    <row r="109" spans="1:23" s="134" customFormat="1" x14ac:dyDescent="0.2">
      <c r="A109" s="125"/>
      <c r="B109" s="126" t="str">
        <f>IF($B108="","",IF($B108+1&gt;'Qredits maandlasten'!$C$4,"",Schema!B108+1))</f>
        <v/>
      </c>
      <c r="C109" s="127" t="str">
        <f>IF($B108="","",IF($B108+1&gt;'Qredits maandlasten'!$C$4,"",EOMONTH(C108,0)+1))</f>
        <v/>
      </c>
      <c r="D109" s="125"/>
      <c r="E109" s="127" t="str">
        <f>IF($B108="","",IF($B108+1&gt;'Qredits maandlasten'!$C$4,"",F108+1))</f>
        <v/>
      </c>
      <c r="F109" s="127" t="str">
        <f>IF($B108="","",IF($B108+1&gt;'Qredits maandlasten'!$C$4,"",EOMONTH(E109,0)))</f>
        <v/>
      </c>
      <c r="G109" s="128" t="str">
        <f>IF($B108="","",IF($B108+1&gt;'Qredits maandlasten'!$C$4,"",(_xlfn.DAYS(F109,E109)+1)/DAY(F109)))</f>
        <v/>
      </c>
      <c r="H109" s="129"/>
      <c r="I109" s="130" t="str">
        <f>IF($B108="","",IF($B108+1&gt;'Qredits maandlasten'!$C$4,"",I108-J108))</f>
        <v/>
      </c>
      <c r="J109" s="130" t="str">
        <f>IF($B108="","",IF($B108+1&gt;'Qredits maandlasten'!$C$4,"",IF(B108&lt;'Qredits maandlasten'!$C$11-1,0,IF('Qredits maandlasten'!$C$10=dropdowns!$A$93,'Qredits maandlasten'!$J$3,IF('Qredits maandlasten'!$C$10=dropdowns!$A$92,IFERROR('Qredits maandlasten'!$J$3-K109,0),0)))))</f>
        <v/>
      </c>
      <c r="K109" s="130" t="str">
        <f>IF($B108="","",IF($B108+1&gt;'Qredits maandlasten'!$C$4,"",G109*I109*'Qredits maandlasten'!$C$8))</f>
        <v/>
      </c>
      <c r="L109" s="130" t="str">
        <f t="shared" si="7"/>
        <v/>
      </c>
      <c r="M109" s="130" t="str">
        <f t="shared" si="5"/>
        <v/>
      </c>
      <c r="N109" s="129"/>
      <c r="O109" s="131" t="str">
        <f>IF($B109="","",'Qredits maandlasten'!$C$8)</f>
        <v/>
      </c>
      <c r="P109" s="131" t="str">
        <f>IF($B109="","",'Qredits maandlasten'!$C$8*(POWER(1+'Qredits maandlasten'!$C$8,$B109-1+1)))</f>
        <v/>
      </c>
      <c r="Q109" s="131" t="str">
        <f t="shared" si="8"/>
        <v/>
      </c>
      <c r="R109" s="129"/>
      <c r="S109" s="130" t="str">
        <f t="shared" si="6"/>
        <v/>
      </c>
      <c r="T109" s="130" t="str">
        <f>IF(S109="","",J109/(POWER(1+'Qredits maandlasten'!$C$8,$B109-1+1)))</f>
        <v/>
      </c>
      <c r="U109" s="132" t="str">
        <f t="shared" si="9"/>
        <v/>
      </c>
      <c r="V109" s="130" t="str">
        <f>IF($B109="","",K109/(POWER(1+'Qredits maandlasten'!$C$8,$B109-1+1)))</f>
        <v/>
      </c>
      <c r="W109" s="129"/>
    </row>
    <row r="110" spans="1:23" s="134" customFormat="1" x14ac:dyDescent="0.2">
      <c r="A110" s="125"/>
      <c r="B110" s="126" t="str">
        <f>IF($B109="","",IF($B109+1&gt;'Qredits maandlasten'!$C$4,"",Schema!B109+1))</f>
        <v/>
      </c>
      <c r="C110" s="127" t="str">
        <f>IF($B109="","",IF($B109+1&gt;'Qredits maandlasten'!$C$4,"",EOMONTH(C109,0)+1))</f>
        <v/>
      </c>
      <c r="D110" s="125"/>
      <c r="E110" s="127" t="str">
        <f>IF($B109="","",IF($B109+1&gt;'Qredits maandlasten'!$C$4,"",F109+1))</f>
        <v/>
      </c>
      <c r="F110" s="127" t="str">
        <f>IF($B109="","",IF($B109+1&gt;'Qredits maandlasten'!$C$4,"",EOMONTH(E110,0)))</f>
        <v/>
      </c>
      <c r="G110" s="128" t="str">
        <f>IF($B109="","",IF($B109+1&gt;'Qredits maandlasten'!$C$4,"",(_xlfn.DAYS(F110,E110)+1)/DAY(F110)))</f>
        <v/>
      </c>
      <c r="H110" s="129"/>
      <c r="I110" s="130" t="str">
        <f>IF($B109="","",IF($B109+1&gt;'Qredits maandlasten'!$C$4,"",I109-J109))</f>
        <v/>
      </c>
      <c r="J110" s="130" t="str">
        <f>IF($B109="","",IF($B109+1&gt;'Qredits maandlasten'!$C$4,"",IF(B109&lt;'Qredits maandlasten'!$C$11-1,0,IF('Qredits maandlasten'!$C$10=dropdowns!$A$93,'Qredits maandlasten'!$J$3,IF('Qredits maandlasten'!$C$10=dropdowns!$A$92,IFERROR('Qredits maandlasten'!$J$3-K110,0),0)))))</f>
        <v/>
      </c>
      <c r="K110" s="130" t="str">
        <f>IF($B109="","",IF($B109+1&gt;'Qredits maandlasten'!$C$4,"",G110*I110*'Qredits maandlasten'!$C$8))</f>
        <v/>
      </c>
      <c r="L110" s="130" t="str">
        <f t="shared" si="7"/>
        <v/>
      </c>
      <c r="M110" s="130" t="str">
        <f t="shared" si="5"/>
        <v/>
      </c>
      <c r="N110" s="129"/>
      <c r="O110" s="131" t="str">
        <f>IF($B110="","",'Qredits maandlasten'!$C$8)</f>
        <v/>
      </c>
      <c r="P110" s="131" t="str">
        <f>IF($B110="","",'Qredits maandlasten'!$C$8*(POWER(1+'Qredits maandlasten'!$C$8,$B110-1+1)))</f>
        <v/>
      </c>
      <c r="Q110" s="131" t="str">
        <f t="shared" si="8"/>
        <v/>
      </c>
      <c r="R110" s="129"/>
      <c r="S110" s="130" t="str">
        <f t="shared" si="6"/>
        <v/>
      </c>
      <c r="T110" s="130" t="str">
        <f>IF(S110="","",J110/(POWER(1+'Qredits maandlasten'!$C$8,$B110-1+1)))</f>
        <v/>
      </c>
      <c r="U110" s="132" t="str">
        <f t="shared" si="9"/>
        <v/>
      </c>
      <c r="V110" s="130" t="str">
        <f>IF($B110="","",K110/(POWER(1+'Qredits maandlasten'!$C$8,$B110-1+1)))</f>
        <v/>
      </c>
      <c r="W110" s="129"/>
    </row>
    <row r="111" spans="1:23" s="134" customFormat="1" x14ac:dyDescent="0.2">
      <c r="A111" s="125"/>
      <c r="B111" s="126" t="str">
        <f>IF($B110="","",IF($B110+1&gt;'Qredits maandlasten'!$C$4,"",Schema!B110+1))</f>
        <v/>
      </c>
      <c r="C111" s="127" t="str">
        <f>IF($B110="","",IF($B110+1&gt;'Qredits maandlasten'!$C$4,"",EOMONTH(C110,0)+1))</f>
        <v/>
      </c>
      <c r="D111" s="125"/>
      <c r="E111" s="127" t="str">
        <f>IF($B110="","",IF($B110+1&gt;'Qredits maandlasten'!$C$4,"",F110+1))</f>
        <v/>
      </c>
      <c r="F111" s="127" t="str">
        <f>IF($B110="","",IF($B110+1&gt;'Qredits maandlasten'!$C$4,"",EOMONTH(E111,0)))</f>
        <v/>
      </c>
      <c r="G111" s="128" t="str">
        <f>IF($B110="","",IF($B110+1&gt;'Qredits maandlasten'!$C$4,"",(_xlfn.DAYS(F111,E111)+1)/DAY(F111)))</f>
        <v/>
      </c>
      <c r="H111" s="129"/>
      <c r="I111" s="130" t="str">
        <f>IF($B110="","",IF($B110+1&gt;'Qredits maandlasten'!$C$4,"",I110-J110))</f>
        <v/>
      </c>
      <c r="J111" s="130" t="str">
        <f>IF($B110="","",IF($B110+1&gt;'Qredits maandlasten'!$C$4,"",IF(B110&lt;'Qredits maandlasten'!$C$11-1,0,IF('Qredits maandlasten'!$C$10=dropdowns!$A$93,'Qredits maandlasten'!$J$3,IF('Qredits maandlasten'!$C$10=dropdowns!$A$92,IFERROR('Qredits maandlasten'!$J$3-K111,0),0)))))</f>
        <v/>
      </c>
      <c r="K111" s="130" t="str">
        <f>IF($B110="","",IF($B110+1&gt;'Qredits maandlasten'!$C$4,"",G111*I111*'Qredits maandlasten'!$C$8))</f>
        <v/>
      </c>
      <c r="L111" s="130" t="str">
        <f t="shared" si="7"/>
        <v/>
      </c>
      <c r="M111" s="130" t="str">
        <f t="shared" si="5"/>
        <v/>
      </c>
      <c r="N111" s="129"/>
      <c r="O111" s="131" t="str">
        <f>IF($B111="","",'Qredits maandlasten'!$C$8)</f>
        <v/>
      </c>
      <c r="P111" s="131" t="str">
        <f>IF($B111="","",'Qredits maandlasten'!$C$8*(POWER(1+'Qredits maandlasten'!$C$8,$B111-1+1)))</f>
        <v/>
      </c>
      <c r="Q111" s="131" t="str">
        <f t="shared" si="8"/>
        <v/>
      </c>
      <c r="R111" s="129"/>
      <c r="S111" s="130" t="str">
        <f t="shared" si="6"/>
        <v/>
      </c>
      <c r="T111" s="130" t="str">
        <f>IF(S111="","",J111/(POWER(1+'Qredits maandlasten'!$C$8,$B111-1+1)))</f>
        <v/>
      </c>
      <c r="U111" s="132" t="str">
        <f t="shared" si="9"/>
        <v/>
      </c>
      <c r="V111" s="130" t="str">
        <f>IF($B111="","",K111/(POWER(1+'Qredits maandlasten'!$C$8,$B111-1+1)))</f>
        <v/>
      </c>
      <c r="W111" s="129"/>
    </row>
    <row r="112" spans="1:23" s="134" customFormat="1" x14ac:dyDescent="0.2">
      <c r="A112" s="125"/>
      <c r="B112" s="126" t="str">
        <f>IF($B111="","",IF($B111+1&gt;'Qredits maandlasten'!$C$4,"",Schema!B111+1))</f>
        <v/>
      </c>
      <c r="C112" s="127" t="str">
        <f>IF($B111="","",IF($B111+1&gt;'Qredits maandlasten'!$C$4,"",EOMONTH(C111,0)+1))</f>
        <v/>
      </c>
      <c r="D112" s="125"/>
      <c r="E112" s="127" t="str">
        <f>IF($B111="","",IF($B111+1&gt;'Qredits maandlasten'!$C$4,"",F111+1))</f>
        <v/>
      </c>
      <c r="F112" s="127" t="str">
        <f>IF($B111="","",IF($B111+1&gt;'Qredits maandlasten'!$C$4,"",EOMONTH(E112,0)))</f>
        <v/>
      </c>
      <c r="G112" s="128" t="str">
        <f>IF($B111="","",IF($B111+1&gt;'Qredits maandlasten'!$C$4,"",(_xlfn.DAYS(F112,E112)+1)/DAY(F112)))</f>
        <v/>
      </c>
      <c r="H112" s="129"/>
      <c r="I112" s="130" t="str">
        <f>IF($B111="","",IF($B111+1&gt;'Qredits maandlasten'!$C$4,"",I111-J111))</f>
        <v/>
      </c>
      <c r="J112" s="130" t="str">
        <f>IF($B111="","",IF($B111+1&gt;'Qredits maandlasten'!$C$4,"",IF(B111&lt;'Qredits maandlasten'!$C$11-1,0,IF('Qredits maandlasten'!$C$10=dropdowns!$A$93,'Qredits maandlasten'!$J$3,IF('Qredits maandlasten'!$C$10=dropdowns!$A$92,IFERROR('Qredits maandlasten'!$J$3-K112,0),0)))))</f>
        <v/>
      </c>
      <c r="K112" s="130" t="str">
        <f>IF($B111="","",IF($B111+1&gt;'Qredits maandlasten'!$C$4,"",G112*I112*'Qredits maandlasten'!$C$8))</f>
        <v/>
      </c>
      <c r="L112" s="130" t="str">
        <f t="shared" si="7"/>
        <v/>
      </c>
      <c r="M112" s="130" t="str">
        <f t="shared" si="5"/>
        <v/>
      </c>
      <c r="N112" s="129"/>
      <c r="O112" s="131" t="str">
        <f>IF($B112="","",'Qredits maandlasten'!$C$8)</f>
        <v/>
      </c>
      <c r="P112" s="131" t="str">
        <f>IF($B112="","",'Qredits maandlasten'!$C$8*(POWER(1+'Qredits maandlasten'!$C$8,$B112-1+1)))</f>
        <v/>
      </c>
      <c r="Q112" s="131" t="str">
        <f t="shared" si="8"/>
        <v/>
      </c>
      <c r="R112" s="129"/>
      <c r="S112" s="130" t="str">
        <f t="shared" si="6"/>
        <v/>
      </c>
      <c r="T112" s="130" t="str">
        <f>IF(S112="","",J112/(POWER(1+'Qredits maandlasten'!$C$8,$B112-1+1)))</f>
        <v/>
      </c>
      <c r="U112" s="132" t="str">
        <f t="shared" si="9"/>
        <v/>
      </c>
      <c r="V112" s="130" t="str">
        <f>IF($B112="","",K112/(POWER(1+'Qredits maandlasten'!$C$8,$B112-1+1)))</f>
        <v/>
      </c>
      <c r="W112" s="129"/>
    </row>
    <row r="113" spans="1:23" s="134" customFormat="1" x14ac:dyDescent="0.2">
      <c r="A113" s="125"/>
      <c r="B113" s="126" t="str">
        <f>IF($B112="","",IF($B112+1&gt;'Qredits maandlasten'!$C$4,"",Schema!B112+1))</f>
        <v/>
      </c>
      <c r="C113" s="127" t="str">
        <f>IF($B112="","",IF($B112+1&gt;'Qredits maandlasten'!$C$4,"",EOMONTH(C112,0)+1))</f>
        <v/>
      </c>
      <c r="D113" s="125"/>
      <c r="E113" s="127" t="str">
        <f>IF($B112="","",IF($B112+1&gt;'Qredits maandlasten'!$C$4,"",F112+1))</f>
        <v/>
      </c>
      <c r="F113" s="127" t="str">
        <f>IF($B112="","",IF($B112+1&gt;'Qredits maandlasten'!$C$4,"",EOMONTH(E113,0)))</f>
        <v/>
      </c>
      <c r="G113" s="128" t="str">
        <f>IF($B112="","",IF($B112+1&gt;'Qredits maandlasten'!$C$4,"",(_xlfn.DAYS(F113,E113)+1)/DAY(F113)))</f>
        <v/>
      </c>
      <c r="H113" s="129"/>
      <c r="I113" s="130" t="str">
        <f>IF($B112="","",IF($B112+1&gt;'Qredits maandlasten'!$C$4,"",I112-J112))</f>
        <v/>
      </c>
      <c r="J113" s="130" t="str">
        <f>IF($B112="","",IF($B112+1&gt;'Qredits maandlasten'!$C$4,"",IF(B112&lt;'Qredits maandlasten'!$C$11-1,0,IF('Qredits maandlasten'!$C$10=dropdowns!$A$93,'Qredits maandlasten'!$J$3,IF('Qredits maandlasten'!$C$10=dropdowns!$A$92,IFERROR('Qredits maandlasten'!$J$3-K113,0),0)))))</f>
        <v/>
      </c>
      <c r="K113" s="130" t="str">
        <f>IF($B112="","",IF($B112+1&gt;'Qredits maandlasten'!$C$4,"",G113*I113*'Qredits maandlasten'!$C$8))</f>
        <v/>
      </c>
      <c r="L113" s="130" t="str">
        <f t="shared" si="7"/>
        <v/>
      </c>
      <c r="M113" s="130" t="str">
        <f t="shared" si="5"/>
        <v/>
      </c>
      <c r="N113" s="129"/>
      <c r="O113" s="131" t="str">
        <f>IF($B113="","",'Qredits maandlasten'!$C$8)</f>
        <v/>
      </c>
      <c r="P113" s="131" t="str">
        <f>IF($B113="","",'Qredits maandlasten'!$C$8*(POWER(1+'Qredits maandlasten'!$C$8,$B113-1+1)))</f>
        <v/>
      </c>
      <c r="Q113" s="131" t="str">
        <f t="shared" si="8"/>
        <v/>
      </c>
      <c r="R113" s="129"/>
      <c r="S113" s="130" t="str">
        <f t="shared" si="6"/>
        <v/>
      </c>
      <c r="T113" s="130" t="str">
        <f>IF(S113="","",J113/(POWER(1+'Qredits maandlasten'!$C$8,$B113-1+1)))</f>
        <v/>
      </c>
      <c r="U113" s="132" t="str">
        <f t="shared" si="9"/>
        <v/>
      </c>
      <c r="V113" s="130" t="str">
        <f>IF($B113="","",K113/(POWER(1+'Qredits maandlasten'!$C$8,$B113-1+1)))</f>
        <v/>
      </c>
      <c r="W113" s="129"/>
    </row>
    <row r="114" spans="1:23" s="134" customFormat="1" x14ac:dyDescent="0.2">
      <c r="A114" s="125"/>
      <c r="B114" s="126" t="str">
        <f>IF($B113="","",IF($B113+1&gt;'Qredits maandlasten'!$C$4,"",Schema!B113+1))</f>
        <v/>
      </c>
      <c r="C114" s="127" t="str">
        <f>IF($B113="","",IF($B113+1&gt;'Qredits maandlasten'!$C$4,"",EOMONTH(C113,0)+1))</f>
        <v/>
      </c>
      <c r="D114" s="125"/>
      <c r="E114" s="127" t="str">
        <f>IF($B113="","",IF($B113+1&gt;'Qredits maandlasten'!$C$4,"",F113+1))</f>
        <v/>
      </c>
      <c r="F114" s="127" t="str">
        <f>IF($B113="","",IF($B113+1&gt;'Qredits maandlasten'!$C$4,"",EOMONTH(E114,0)))</f>
        <v/>
      </c>
      <c r="G114" s="128" t="str">
        <f>IF($B113="","",IF($B113+1&gt;'Qredits maandlasten'!$C$4,"",(_xlfn.DAYS(F114,E114)+1)/DAY(F114)))</f>
        <v/>
      </c>
      <c r="H114" s="129"/>
      <c r="I114" s="130" t="str">
        <f>IF($B113="","",IF($B113+1&gt;'Qredits maandlasten'!$C$4,"",I113-J113))</f>
        <v/>
      </c>
      <c r="J114" s="130" t="str">
        <f>IF($B113="","",IF($B113+1&gt;'Qredits maandlasten'!$C$4,"",IF(B113&lt;'Qredits maandlasten'!$C$11-1,0,IF('Qredits maandlasten'!$C$10=dropdowns!$A$93,'Qredits maandlasten'!$J$3,IF('Qredits maandlasten'!$C$10=dropdowns!$A$92,IFERROR('Qredits maandlasten'!$J$3-K114,0),0)))))</f>
        <v/>
      </c>
      <c r="K114" s="130" t="str">
        <f>IF($B113="","",IF($B113+1&gt;'Qredits maandlasten'!$C$4,"",G114*I114*'Qredits maandlasten'!$C$8))</f>
        <v/>
      </c>
      <c r="L114" s="130" t="str">
        <f t="shared" si="7"/>
        <v/>
      </c>
      <c r="M114" s="130" t="str">
        <f t="shared" si="5"/>
        <v/>
      </c>
      <c r="N114" s="129"/>
      <c r="O114" s="131" t="str">
        <f>IF($B114="","",'Qredits maandlasten'!$C$8)</f>
        <v/>
      </c>
      <c r="P114" s="131" t="str">
        <f>IF($B114="","",'Qredits maandlasten'!$C$8*(POWER(1+'Qredits maandlasten'!$C$8,$B114-1+1)))</f>
        <v/>
      </c>
      <c r="Q114" s="131" t="str">
        <f t="shared" si="8"/>
        <v/>
      </c>
      <c r="R114" s="129"/>
      <c r="S114" s="130" t="str">
        <f t="shared" si="6"/>
        <v/>
      </c>
      <c r="T114" s="130" t="str">
        <f>IF(S114="","",J114/(POWER(1+'Qredits maandlasten'!$C$8,$B114-1+1)))</f>
        <v/>
      </c>
      <c r="U114" s="132" t="str">
        <f t="shared" si="9"/>
        <v/>
      </c>
      <c r="V114" s="130" t="str">
        <f>IF($B114="","",K114/(POWER(1+'Qredits maandlasten'!$C$8,$B114-1+1)))</f>
        <v/>
      </c>
      <c r="W114" s="129"/>
    </row>
    <row r="115" spans="1:23" s="134" customFormat="1" x14ac:dyDescent="0.2">
      <c r="A115" s="125"/>
      <c r="B115" s="126" t="str">
        <f>IF($B114="","",IF($B114+1&gt;'Qredits maandlasten'!$C$4,"",Schema!B114+1))</f>
        <v/>
      </c>
      <c r="C115" s="127" t="str">
        <f>IF($B114="","",IF($B114+1&gt;'Qredits maandlasten'!$C$4,"",EOMONTH(C114,0)+1))</f>
        <v/>
      </c>
      <c r="D115" s="125"/>
      <c r="E115" s="127" t="str">
        <f>IF($B114="","",IF($B114+1&gt;'Qredits maandlasten'!$C$4,"",F114+1))</f>
        <v/>
      </c>
      <c r="F115" s="127" t="str">
        <f>IF($B114="","",IF($B114+1&gt;'Qredits maandlasten'!$C$4,"",EOMONTH(E115,0)))</f>
        <v/>
      </c>
      <c r="G115" s="128" t="str">
        <f>IF($B114="","",IF($B114+1&gt;'Qredits maandlasten'!$C$4,"",(_xlfn.DAYS(F115,E115)+1)/DAY(F115)))</f>
        <v/>
      </c>
      <c r="H115" s="129"/>
      <c r="I115" s="130" t="str">
        <f>IF($B114="","",IF($B114+1&gt;'Qredits maandlasten'!$C$4,"",I114-J114))</f>
        <v/>
      </c>
      <c r="J115" s="130" t="str">
        <f>IF($B114="","",IF($B114+1&gt;'Qredits maandlasten'!$C$4,"",IF(B114&lt;'Qredits maandlasten'!$C$11-1,0,IF('Qredits maandlasten'!$C$10=dropdowns!$A$93,'Qredits maandlasten'!$J$3,IF('Qredits maandlasten'!$C$10=dropdowns!$A$92,IFERROR('Qredits maandlasten'!$J$3-K115,0),0)))))</f>
        <v/>
      </c>
      <c r="K115" s="130" t="str">
        <f>IF($B114="","",IF($B114+1&gt;'Qredits maandlasten'!$C$4,"",G115*I115*'Qredits maandlasten'!$C$8))</f>
        <v/>
      </c>
      <c r="L115" s="130" t="str">
        <f t="shared" si="7"/>
        <v/>
      </c>
      <c r="M115" s="130" t="str">
        <f t="shared" si="5"/>
        <v/>
      </c>
      <c r="N115" s="129"/>
      <c r="O115" s="131" t="str">
        <f>IF($B115="","",'Qredits maandlasten'!$C$8)</f>
        <v/>
      </c>
      <c r="P115" s="131" t="str">
        <f>IF($B115="","",'Qredits maandlasten'!$C$8*(POWER(1+'Qredits maandlasten'!$C$8,$B115-1+1)))</f>
        <v/>
      </c>
      <c r="Q115" s="131" t="str">
        <f t="shared" si="8"/>
        <v/>
      </c>
      <c r="R115" s="129"/>
      <c r="S115" s="130" t="str">
        <f t="shared" si="6"/>
        <v/>
      </c>
      <c r="T115" s="130" t="str">
        <f>IF(S115="","",J115/(POWER(1+'Qredits maandlasten'!$C$8,$B115-1+1)))</f>
        <v/>
      </c>
      <c r="U115" s="132" t="str">
        <f t="shared" si="9"/>
        <v/>
      </c>
      <c r="V115" s="130" t="str">
        <f>IF($B115="","",K115/(POWER(1+'Qredits maandlasten'!$C$8,$B115-1+1)))</f>
        <v/>
      </c>
      <c r="W115" s="129"/>
    </row>
    <row r="116" spans="1:23" s="134" customFormat="1" x14ac:dyDescent="0.2">
      <c r="A116" s="125"/>
      <c r="B116" s="126" t="str">
        <f>IF($B115="","",IF($B115+1&gt;'Qredits maandlasten'!$C$4,"",Schema!B115+1))</f>
        <v/>
      </c>
      <c r="C116" s="127" t="str">
        <f>IF($B115="","",IF($B115+1&gt;'Qredits maandlasten'!$C$4,"",EOMONTH(C115,0)+1))</f>
        <v/>
      </c>
      <c r="D116" s="125"/>
      <c r="E116" s="127" t="str">
        <f>IF($B115="","",IF($B115+1&gt;'Qredits maandlasten'!$C$4,"",F115+1))</f>
        <v/>
      </c>
      <c r="F116" s="127" t="str">
        <f>IF($B115="","",IF($B115+1&gt;'Qredits maandlasten'!$C$4,"",EOMONTH(E116,0)))</f>
        <v/>
      </c>
      <c r="G116" s="128" t="str">
        <f>IF($B115="","",IF($B115+1&gt;'Qredits maandlasten'!$C$4,"",(_xlfn.DAYS(F116,E116)+1)/DAY(F116)))</f>
        <v/>
      </c>
      <c r="H116" s="129"/>
      <c r="I116" s="130" t="str">
        <f>IF($B115="","",IF($B115+1&gt;'Qredits maandlasten'!$C$4,"",I115-J115))</f>
        <v/>
      </c>
      <c r="J116" s="130" t="str">
        <f>IF($B115="","",IF($B115+1&gt;'Qredits maandlasten'!$C$4,"",IF(B115&lt;'Qredits maandlasten'!$C$11-1,0,IF('Qredits maandlasten'!$C$10=dropdowns!$A$93,'Qredits maandlasten'!$J$3,IF('Qredits maandlasten'!$C$10=dropdowns!$A$92,IFERROR('Qredits maandlasten'!$J$3-K116,0),0)))))</f>
        <v/>
      </c>
      <c r="K116" s="130" t="str">
        <f>IF($B115="","",IF($B115+1&gt;'Qredits maandlasten'!$C$4,"",G116*I116*'Qredits maandlasten'!$C$8))</f>
        <v/>
      </c>
      <c r="L116" s="130" t="str">
        <f t="shared" si="7"/>
        <v/>
      </c>
      <c r="M116" s="130" t="str">
        <f t="shared" si="5"/>
        <v/>
      </c>
      <c r="N116" s="129"/>
      <c r="O116" s="131" t="str">
        <f>IF($B116="","",'Qredits maandlasten'!$C$8)</f>
        <v/>
      </c>
      <c r="P116" s="131" t="str">
        <f>IF($B116="","",'Qredits maandlasten'!$C$8*(POWER(1+'Qredits maandlasten'!$C$8,$B116-1+1)))</f>
        <v/>
      </c>
      <c r="Q116" s="131" t="str">
        <f t="shared" si="8"/>
        <v/>
      </c>
      <c r="R116" s="129"/>
      <c r="S116" s="130" t="str">
        <f t="shared" si="6"/>
        <v/>
      </c>
      <c r="T116" s="130" t="str">
        <f>IF(S116="","",J116/(POWER(1+'Qredits maandlasten'!$C$8,$B116-1+1)))</f>
        <v/>
      </c>
      <c r="U116" s="132" t="str">
        <f t="shared" si="9"/>
        <v/>
      </c>
      <c r="V116" s="130" t="str">
        <f>IF($B116="","",K116/(POWER(1+'Qredits maandlasten'!$C$8,$B116-1+1)))</f>
        <v/>
      </c>
      <c r="W116" s="129"/>
    </row>
    <row r="117" spans="1:23" s="134" customFormat="1" x14ac:dyDescent="0.2">
      <c r="A117" s="125"/>
      <c r="B117" s="126" t="str">
        <f>IF($B116="","",IF($B116+1&gt;'Qredits maandlasten'!$C$4,"",Schema!B116+1))</f>
        <v/>
      </c>
      <c r="C117" s="127" t="str">
        <f>IF($B116="","",IF($B116+1&gt;'Qredits maandlasten'!$C$4,"",EOMONTH(C116,0)+1))</f>
        <v/>
      </c>
      <c r="D117" s="125"/>
      <c r="E117" s="127" t="str">
        <f>IF($B116="","",IF($B116+1&gt;'Qredits maandlasten'!$C$4,"",F116+1))</f>
        <v/>
      </c>
      <c r="F117" s="127" t="str">
        <f>IF($B116="","",IF($B116+1&gt;'Qredits maandlasten'!$C$4,"",EOMONTH(E117,0)))</f>
        <v/>
      </c>
      <c r="G117" s="128" t="str">
        <f>IF($B116="","",IF($B116+1&gt;'Qredits maandlasten'!$C$4,"",(_xlfn.DAYS(F117,E117)+1)/DAY(F117)))</f>
        <v/>
      </c>
      <c r="H117" s="129"/>
      <c r="I117" s="130" t="str">
        <f>IF($B116="","",IF($B116+1&gt;'Qredits maandlasten'!$C$4,"",I116-J116))</f>
        <v/>
      </c>
      <c r="J117" s="130" t="str">
        <f>IF($B116="","",IF($B116+1&gt;'Qredits maandlasten'!$C$4,"",IF(B116&lt;'Qredits maandlasten'!$C$11-1,0,IF('Qredits maandlasten'!$C$10=dropdowns!$A$93,'Qredits maandlasten'!$J$3,IF('Qredits maandlasten'!$C$10=dropdowns!$A$92,IFERROR('Qredits maandlasten'!$J$3-K117,0),0)))))</f>
        <v/>
      </c>
      <c r="K117" s="130" t="str">
        <f>IF($B116="","",IF($B116+1&gt;'Qredits maandlasten'!$C$4,"",G117*I117*'Qredits maandlasten'!$C$8))</f>
        <v/>
      </c>
      <c r="L117" s="130" t="str">
        <f t="shared" si="7"/>
        <v/>
      </c>
      <c r="M117" s="130" t="str">
        <f t="shared" si="5"/>
        <v/>
      </c>
      <c r="N117" s="129"/>
      <c r="O117" s="131" t="str">
        <f>IF($B117="","",'Qredits maandlasten'!$C$8)</f>
        <v/>
      </c>
      <c r="P117" s="131" t="str">
        <f>IF($B117="","",'Qredits maandlasten'!$C$8*(POWER(1+'Qredits maandlasten'!$C$8,$B117-1+1)))</f>
        <v/>
      </c>
      <c r="Q117" s="131" t="str">
        <f t="shared" si="8"/>
        <v/>
      </c>
      <c r="R117" s="129"/>
      <c r="S117" s="130" t="str">
        <f t="shared" si="6"/>
        <v/>
      </c>
      <c r="T117" s="130" t="str">
        <f>IF(S117="","",J117/(POWER(1+'Qredits maandlasten'!$C$8,$B117-1+1)))</f>
        <v/>
      </c>
      <c r="U117" s="132" t="str">
        <f t="shared" si="9"/>
        <v/>
      </c>
      <c r="V117" s="130" t="str">
        <f>IF($B117="","",K117/(POWER(1+'Qredits maandlasten'!$C$8,$B117-1+1)))</f>
        <v/>
      </c>
      <c r="W117" s="129"/>
    </row>
    <row r="118" spans="1:23" s="134" customFormat="1" x14ac:dyDescent="0.2">
      <c r="A118" s="125"/>
      <c r="B118" s="126" t="str">
        <f>IF($B117="","",IF($B117+1&gt;'Qredits maandlasten'!$C$4,"",Schema!B117+1))</f>
        <v/>
      </c>
      <c r="C118" s="127" t="str">
        <f>IF($B117="","",IF($B117+1&gt;'Qredits maandlasten'!$C$4,"",EOMONTH(C117,0)+1))</f>
        <v/>
      </c>
      <c r="D118" s="125"/>
      <c r="E118" s="127" t="str">
        <f>IF($B117="","",IF($B117+1&gt;'Qredits maandlasten'!$C$4,"",F117+1))</f>
        <v/>
      </c>
      <c r="F118" s="127" t="str">
        <f>IF($B117="","",IF($B117+1&gt;'Qredits maandlasten'!$C$4,"",EOMONTH(E118,0)))</f>
        <v/>
      </c>
      <c r="G118" s="128" t="str">
        <f>IF($B117="","",IF($B117+1&gt;'Qredits maandlasten'!$C$4,"",(_xlfn.DAYS(F118,E118)+1)/DAY(F118)))</f>
        <v/>
      </c>
      <c r="H118" s="129"/>
      <c r="I118" s="130" t="str">
        <f>IF($B117="","",IF($B117+1&gt;'Qredits maandlasten'!$C$4,"",I117-J117))</f>
        <v/>
      </c>
      <c r="J118" s="130" t="str">
        <f>IF($B117="","",IF($B117+1&gt;'Qredits maandlasten'!$C$4,"",IF(B117&lt;'Qredits maandlasten'!$C$11-1,0,IF('Qredits maandlasten'!$C$10=dropdowns!$A$93,'Qredits maandlasten'!$J$3,IF('Qredits maandlasten'!$C$10=dropdowns!$A$92,IFERROR('Qredits maandlasten'!$J$3-K118,0),0)))))</f>
        <v/>
      </c>
      <c r="K118" s="130" t="str">
        <f>IF($B117="","",IF($B117+1&gt;'Qredits maandlasten'!$C$4,"",G118*I118*'Qredits maandlasten'!$C$8))</f>
        <v/>
      </c>
      <c r="L118" s="130" t="str">
        <f t="shared" si="7"/>
        <v/>
      </c>
      <c r="M118" s="130" t="str">
        <f t="shared" si="5"/>
        <v/>
      </c>
      <c r="N118" s="129"/>
      <c r="O118" s="131" t="str">
        <f>IF($B118="","",'Qredits maandlasten'!$C$8)</f>
        <v/>
      </c>
      <c r="P118" s="131" t="str">
        <f>IF($B118="","",'Qredits maandlasten'!$C$8*(POWER(1+'Qredits maandlasten'!$C$8,$B118-1+1)))</f>
        <v/>
      </c>
      <c r="Q118" s="131" t="str">
        <f t="shared" si="8"/>
        <v/>
      </c>
      <c r="R118" s="129"/>
      <c r="S118" s="130" t="str">
        <f t="shared" si="6"/>
        <v/>
      </c>
      <c r="T118" s="130" t="str">
        <f>IF(S118="","",J118/(POWER(1+'Qredits maandlasten'!$C$8,$B118-1+1)))</f>
        <v/>
      </c>
      <c r="U118" s="132" t="str">
        <f t="shared" si="9"/>
        <v/>
      </c>
      <c r="V118" s="130" t="str">
        <f>IF($B118="","",K118/(POWER(1+'Qredits maandlasten'!$C$8,$B118-1+1)))</f>
        <v/>
      </c>
      <c r="W118" s="129"/>
    </row>
    <row r="119" spans="1:23" s="134" customFormat="1" x14ac:dyDescent="0.2">
      <c r="A119" s="125"/>
      <c r="B119" s="126" t="str">
        <f>IF($B118="","",IF($B118+1&gt;'Qredits maandlasten'!$C$4,"",Schema!B118+1))</f>
        <v/>
      </c>
      <c r="C119" s="127" t="str">
        <f>IF($B118="","",IF($B118+1&gt;'Qredits maandlasten'!$C$4,"",EOMONTH(C118,0)+1))</f>
        <v/>
      </c>
      <c r="D119" s="125"/>
      <c r="E119" s="127" t="str">
        <f>IF($B118="","",IF($B118+1&gt;'Qredits maandlasten'!$C$4,"",F118+1))</f>
        <v/>
      </c>
      <c r="F119" s="127" t="str">
        <f>IF($B118="","",IF($B118+1&gt;'Qredits maandlasten'!$C$4,"",EOMONTH(E119,0)))</f>
        <v/>
      </c>
      <c r="G119" s="128" t="str">
        <f>IF($B118="","",IF($B118+1&gt;'Qredits maandlasten'!$C$4,"",(_xlfn.DAYS(F119,E119)+1)/DAY(F119)))</f>
        <v/>
      </c>
      <c r="H119" s="129"/>
      <c r="I119" s="130" t="str">
        <f>IF($B118="","",IF($B118+1&gt;'Qredits maandlasten'!$C$4,"",I118-J118))</f>
        <v/>
      </c>
      <c r="J119" s="130" t="str">
        <f>IF($B118="","",IF($B118+1&gt;'Qredits maandlasten'!$C$4,"",IF(B118&lt;'Qredits maandlasten'!$C$11-1,0,IF('Qredits maandlasten'!$C$10=dropdowns!$A$93,'Qredits maandlasten'!$J$3,IF('Qredits maandlasten'!$C$10=dropdowns!$A$92,IFERROR('Qredits maandlasten'!$J$3-K119,0),0)))))</f>
        <v/>
      </c>
      <c r="K119" s="130" t="str">
        <f>IF($B118="","",IF($B118+1&gt;'Qredits maandlasten'!$C$4,"",G119*I119*'Qredits maandlasten'!$C$8))</f>
        <v/>
      </c>
      <c r="L119" s="130" t="str">
        <f t="shared" si="7"/>
        <v/>
      </c>
      <c r="M119" s="130" t="str">
        <f t="shared" si="5"/>
        <v/>
      </c>
      <c r="N119" s="129"/>
      <c r="O119" s="131" t="str">
        <f>IF($B119="","",'Qredits maandlasten'!$C$8)</f>
        <v/>
      </c>
      <c r="P119" s="131" t="str">
        <f>IF($B119="","",'Qredits maandlasten'!$C$8*(POWER(1+'Qredits maandlasten'!$C$8,$B119-1+1)))</f>
        <v/>
      </c>
      <c r="Q119" s="131" t="str">
        <f t="shared" si="8"/>
        <v/>
      </c>
      <c r="R119" s="129"/>
      <c r="S119" s="130" t="str">
        <f t="shared" si="6"/>
        <v/>
      </c>
      <c r="T119" s="130" t="str">
        <f>IF(S119="","",J119/(POWER(1+'Qredits maandlasten'!$C$8,$B119-1+1)))</f>
        <v/>
      </c>
      <c r="U119" s="132" t="str">
        <f t="shared" si="9"/>
        <v/>
      </c>
      <c r="V119" s="130" t="str">
        <f>IF($B119="","",K119/(POWER(1+'Qredits maandlasten'!$C$8,$B119-1+1)))</f>
        <v/>
      </c>
      <c r="W119" s="129"/>
    </row>
    <row r="120" spans="1:23" s="134" customFormat="1" x14ac:dyDescent="0.2">
      <c r="A120" s="125"/>
      <c r="B120" s="126" t="str">
        <f>IF($B119="","",IF($B119+1&gt;'Qredits maandlasten'!$C$4,"",Schema!B119+1))</f>
        <v/>
      </c>
      <c r="C120" s="127" t="str">
        <f>IF($B119="","",IF($B119+1&gt;'Qredits maandlasten'!$C$4,"",EOMONTH(C119,0)+1))</f>
        <v/>
      </c>
      <c r="D120" s="125"/>
      <c r="E120" s="127" t="str">
        <f>IF($B119="","",IF($B119+1&gt;'Qredits maandlasten'!$C$4,"",F119+1))</f>
        <v/>
      </c>
      <c r="F120" s="127" t="str">
        <f>IF($B119="","",IF($B119+1&gt;'Qredits maandlasten'!$C$4,"",EOMONTH(E120,0)))</f>
        <v/>
      </c>
      <c r="G120" s="128" t="str">
        <f>IF($B119="","",IF($B119+1&gt;'Qredits maandlasten'!$C$4,"",(_xlfn.DAYS(F120,E120)+1)/DAY(F120)))</f>
        <v/>
      </c>
      <c r="H120" s="129"/>
      <c r="I120" s="130" t="str">
        <f>IF($B119="","",IF($B119+1&gt;'Qredits maandlasten'!$C$4,"",I119-J119))</f>
        <v/>
      </c>
      <c r="J120" s="130" t="str">
        <f>IF($B119="","",IF($B119+1&gt;'Qredits maandlasten'!$C$4,"",IF(B119&lt;'Qredits maandlasten'!$C$11-1,0,IF('Qredits maandlasten'!$C$10=dropdowns!$A$93,'Qredits maandlasten'!$J$3,IF('Qredits maandlasten'!$C$10=dropdowns!$A$92,IFERROR('Qredits maandlasten'!$J$3-K120,0),0)))))</f>
        <v/>
      </c>
      <c r="K120" s="130" t="str">
        <f>IF($B119="","",IF($B119+1&gt;'Qredits maandlasten'!$C$4,"",G120*I120*'Qredits maandlasten'!$C$8))</f>
        <v/>
      </c>
      <c r="L120" s="130" t="str">
        <f t="shared" si="7"/>
        <v/>
      </c>
      <c r="M120" s="130" t="str">
        <f t="shared" si="5"/>
        <v/>
      </c>
      <c r="N120" s="129"/>
      <c r="O120" s="131" t="str">
        <f>IF($B120="","",'Qredits maandlasten'!$C$8)</f>
        <v/>
      </c>
      <c r="P120" s="131" t="str">
        <f>IF($B120="","",'Qredits maandlasten'!$C$8*(POWER(1+'Qredits maandlasten'!$C$8,$B120-1+1)))</f>
        <v/>
      </c>
      <c r="Q120" s="131" t="str">
        <f t="shared" si="8"/>
        <v/>
      </c>
      <c r="R120" s="129"/>
      <c r="S120" s="130" t="str">
        <f t="shared" si="6"/>
        <v/>
      </c>
      <c r="T120" s="130" t="str">
        <f>IF(S120="","",J120/(POWER(1+'Qredits maandlasten'!$C$8,$B120-1+1)))</f>
        <v/>
      </c>
      <c r="U120" s="132" t="str">
        <f t="shared" si="9"/>
        <v/>
      </c>
      <c r="V120" s="130" t="str">
        <f>IF($B120="","",K120/(POWER(1+'Qredits maandlasten'!$C$8,$B120-1+1)))</f>
        <v/>
      </c>
      <c r="W120" s="129"/>
    </row>
    <row r="121" spans="1:23" s="134" customFormat="1" x14ac:dyDescent="0.2">
      <c r="A121" s="125"/>
      <c r="B121" s="126" t="str">
        <f>IF($B120="","",IF($B120+1&gt;'Qredits maandlasten'!$C$4,"",Schema!B120+1))</f>
        <v/>
      </c>
      <c r="C121" s="127" t="str">
        <f>IF($B120="","",IF($B120+1&gt;'Qredits maandlasten'!$C$4,"",EOMONTH(C120,0)+1))</f>
        <v/>
      </c>
      <c r="D121" s="125"/>
      <c r="E121" s="127" t="str">
        <f>IF($B120="","",IF($B120+1&gt;'Qredits maandlasten'!$C$4,"",F120+1))</f>
        <v/>
      </c>
      <c r="F121" s="127" t="str">
        <f>IF($B120="","",IF($B120+1&gt;'Qredits maandlasten'!$C$4,"",EOMONTH(E121,0)))</f>
        <v/>
      </c>
      <c r="G121" s="128" t="str">
        <f>IF($B120="","",IF($B120+1&gt;'Qredits maandlasten'!$C$4,"",(_xlfn.DAYS(F121,E121)+1)/DAY(F121)))</f>
        <v/>
      </c>
      <c r="H121" s="129"/>
      <c r="I121" s="130" t="str">
        <f>IF($B120="","",IF($B120+1&gt;'Qredits maandlasten'!$C$4,"",I120-J120))</f>
        <v/>
      </c>
      <c r="J121" s="130" t="str">
        <f>IF($B120="","",IF($B120+1&gt;'Qredits maandlasten'!$C$4,"",IF(B120&lt;'Qredits maandlasten'!$C$11-1,0,IF('Qredits maandlasten'!$C$10=dropdowns!$A$93,'Qredits maandlasten'!$J$3,IF('Qredits maandlasten'!$C$10=dropdowns!$A$92,IFERROR('Qredits maandlasten'!$J$3-K121,0),0)))))</f>
        <v/>
      </c>
      <c r="K121" s="130" t="str">
        <f>IF($B120="","",IF($B120+1&gt;'Qredits maandlasten'!$C$4,"",G121*I121*'Qredits maandlasten'!$C$8))</f>
        <v/>
      </c>
      <c r="L121" s="130" t="str">
        <f t="shared" si="7"/>
        <v/>
      </c>
      <c r="M121" s="130" t="str">
        <f t="shared" si="5"/>
        <v/>
      </c>
      <c r="N121" s="129"/>
      <c r="O121" s="131" t="str">
        <f>IF($B121="","",'Qredits maandlasten'!$C$8)</f>
        <v/>
      </c>
      <c r="P121" s="131" t="str">
        <f>IF($B121="","",'Qredits maandlasten'!$C$8*(POWER(1+'Qredits maandlasten'!$C$8,$B121-1+1)))</f>
        <v/>
      </c>
      <c r="Q121" s="131" t="str">
        <f t="shared" si="8"/>
        <v/>
      </c>
      <c r="R121" s="129"/>
      <c r="S121" s="130" t="str">
        <f t="shared" si="6"/>
        <v/>
      </c>
      <c r="T121" s="130" t="str">
        <f>IF(S121="","",J121/(POWER(1+'Qredits maandlasten'!$C$8,$B121-1+1)))</f>
        <v/>
      </c>
      <c r="U121" s="132" t="str">
        <f t="shared" si="9"/>
        <v/>
      </c>
      <c r="V121" s="130" t="str">
        <f>IF($B121="","",K121/(POWER(1+'Qredits maandlasten'!$C$8,$B121-1+1)))</f>
        <v/>
      </c>
      <c r="W121" s="129"/>
    </row>
    <row r="122" spans="1:23" s="134" customFormat="1" x14ac:dyDescent="0.2">
      <c r="A122" s="125"/>
      <c r="B122" s="126" t="str">
        <f>IF($B121="","",IF($B121+1&gt;'Qredits maandlasten'!$C$4,"",Schema!B121+1))</f>
        <v/>
      </c>
      <c r="C122" s="127" t="str">
        <f>IF($B121="","",IF($B121+1&gt;'Qredits maandlasten'!$C$4,"",EOMONTH(C121,0)+1))</f>
        <v/>
      </c>
      <c r="D122" s="125"/>
      <c r="E122" s="127" t="str">
        <f>IF($B121="","",IF($B121+1&gt;'Qredits maandlasten'!$C$4,"",F121+1))</f>
        <v/>
      </c>
      <c r="F122" s="127" t="str">
        <f>IF($B121="","",IF($B121+1&gt;'Qredits maandlasten'!$C$4,"",EOMONTH(E122,0)))</f>
        <v/>
      </c>
      <c r="G122" s="128" t="str">
        <f>IF($B121="","",IF($B121+1&gt;'Qredits maandlasten'!$C$4,"",(_xlfn.DAYS(F122,E122)+1)/DAY(F122)))</f>
        <v/>
      </c>
      <c r="H122" s="129"/>
      <c r="I122" s="130" t="str">
        <f>IF($B121="","",IF($B121+1&gt;'Qredits maandlasten'!$C$4,"",I121-J121))</f>
        <v/>
      </c>
      <c r="J122" s="130" t="str">
        <f>IF($B121="","",IF($B121+1&gt;'Qredits maandlasten'!$C$4,"",IF(B121&lt;'Qredits maandlasten'!$C$11-1,0,IF('Qredits maandlasten'!$C$10=dropdowns!$A$93,'Qredits maandlasten'!$J$3,IF('Qredits maandlasten'!$C$10=dropdowns!$A$92,IFERROR('Qredits maandlasten'!$J$3-K122,0),0)))))</f>
        <v/>
      </c>
      <c r="K122" s="130" t="str">
        <f>IF($B121="","",IF($B121+1&gt;'Qredits maandlasten'!$C$4,"",G122*I122*'Qredits maandlasten'!$C$8))</f>
        <v/>
      </c>
      <c r="L122" s="130" t="str">
        <f t="shared" si="7"/>
        <v/>
      </c>
      <c r="M122" s="130" t="str">
        <f t="shared" si="5"/>
        <v/>
      </c>
      <c r="N122" s="129"/>
      <c r="O122" s="131" t="str">
        <f>IF($B122="","",'Qredits maandlasten'!$C$8)</f>
        <v/>
      </c>
      <c r="P122" s="131" t="str">
        <f>IF($B122="","",'Qredits maandlasten'!$C$8*(POWER(1+'Qredits maandlasten'!$C$8,$B122-1+1)))</f>
        <v/>
      </c>
      <c r="Q122" s="131" t="str">
        <f t="shared" si="8"/>
        <v/>
      </c>
      <c r="R122" s="129"/>
      <c r="S122" s="130" t="str">
        <f t="shared" si="6"/>
        <v/>
      </c>
      <c r="T122" s="130" t="str">
        <f>IF(S122="","",J122/(POWER(1+'Qredits maandlasten'!$C$8,$B122-1+1)))</f>
        <v/>
      </c>
      <c r="U122" s="132" t="str">
        <f t="shared" si="9"/>
        <v/>
      </c>
      <c r="V122" s="130" t="str">
        <f>IF($B122="","",K122/(POWER(1+'Qredits maandlasten'!$C$8,$B122-1+1)))</f>
        <v/>
      </c>
      <c r="W122" s="129"/>
    </row>
    <row r="123" spans="1:23" s="134" customFormat="1" x14ac:dyDescent="0.2">
      <c r="A123" s="125"/>
      <c r="B123" s="126" t="str">
        <f>IF($B122="","",IF($B122+1&gt;'Qredits maandlasten'!$C$4,"",Schema!B122+1))</f>
        <v/>
      </c>
      <c r="C123" s="127" t="str">
        <f>IF($B122="","",IF($B122+1&gt;'Qredits maandlasten'!$C$4,"",EOMONTH(C122,0)+1))</f>
        <v/>
      </c>
      <c r="D123" s="125"/>
      <c r="E123" s="127" t="str">
        <f>IF($B122="","",IF($B122+1&gt;'Qredits maandlasten'!$C$4,"",F122+1))</f>
        <v/>
      </c>
      <c r="F123" s="127" t="str">
        <f>IF($B122="","",IF($B122+1&gt;'Qredits maandlasten'!$C$4,"",EOMONTH(E123,0)))</f>
        <v/>
      </c>
      <c r="G123" s="128" t="str">
        <f>IF($B122="","",IF($B122+1&gt;'Qredits maandlasten'!$C$4,"",(_xlfn.DAYS(F123,E123)+1)/DAY(F123)))</f>
        <v/>
      </c>
      <c r="H123" s="129"/>
      <c r="I123" s="130" t="str">
        <f>IF($B122="","",IF($B122+1&gt;'Qredits maandlasten'!$C$4,"",I122-J122))</f>
        <v/>
      </c>
      <c r="J123" s="130" t="str">
        <f>IF($B122="","",IF($B122+1&gt;'Qredits maandlasten'!$C$4,"",IF(B122&lt;'Qredits maandlasten'!$C$11-1,0,IF('Qredits maandlasten'!$C$10=dropdowns!$A$93,'Qredits maandlasten'!$J$3,IF('Qredits maandlasten'!$C$10=dropdowns!$A$92,IFERROR('Qredits maandlasten'!$J$3-K123,0),0)))))</f>
        <v/>
      </c>
      <c r="K123" s="130" t="str">
        <f>IF($B122="","",IF($B122+1&gt;'Qredits maandlasten'!$C$4,"",G123*I123*'Qredits maandlasten'!$C$8))</f>
        <v/>
      </c>
      <c r="L123" s="130" t="str">
        <f t="shared" si="7"/>
        <v/>
      </c>
      <c r="M123" s="130" t="str">
        <f t="shared" si="5"/>
        <v/>
      </c>
      <c r="N123" s="129"/>
      <c r="O123" s="131" t="str">
        <f>IF($B123="","",'Qredits maandlasten'!$C$8)</f>
        <v/>
      </c>
      <c r="P123" s="131" t="str">
        <f>IF($B123="","",'Qredits maandlasten'!$C$8*(POWER(1+'Qredits maandlasten'!$C$8,$B123-1+1)))</f>
        <v/>
      </c>
      <c r="Q123" s="131" t="str">
        <f t="shared" si="8"/>
        <v/>
      </c>
      <c r="R123" s="129"/>
      <c r="S123" s="130" t="str">
        <f t="shared" si="6"/>
        <v/>
      </c>
      <c r="T123" s="130" t="str">
        <f>IF(S123="","",J123/(POWER(1+'Qredits maandlasten'!$C$8,$B123-1+1)))</f>
        <v/>
      </c>
      <c r="U123" s="132" t="str">
        <f t="shared" si="9"/>
        <v/>
      </c>
      <c r="V123" s="130" t="str">
        <f>IF($B123="","",K123/(POWER(1+'Qredits maandlasten'!$C$8,$B123-1+1)))</f>
        <v/>
      </c>
      <c r="W123" s="129"/>
    </row>
    <row r="124" spans="1:23" s="134" customFormat="1" x14ac:dyDescent="0.2">
      <c r="A124" s="125"/>
      <c r="B124" s="126" t="str">
        <f>IF($B123="","",IF($B123+1&gt;'Qredits maandlasten'!$C$4,"",Schema!B123+1))</f>
        <v/>
      </c>
      <c r="C124" s="127" t="str">
        <f>IF($B123="","",IF($B123+1&gt;'Qredits maandlasten'!$C$4,"",EOMONTH(C123,0)+1))</f>
        <v/>
      </c>
      <c r="D124" s="125"/>
      <c r="E124" s="127" t="str">
        <f>IF($B123="","",IF($B123+1&gt;'Qredits maandlasten'!$C$4,"",F123+1))</f>
        <v/>
      </c>
      <c r="F124" s="127" t="str">
        <f>IF($B123="","",IF($B123+1&gt;'Qredits maandlasten'!$C$4,"",EOMONTH(E124,0)))</f>
        <v/>
      </c>
      <c r="G124" s="128" t="str">
        <f>IF($B123="","",IF($B123+1&gt;'Qredits maandlasten'!$C$4,"",(_xlfn.DAYS(F124,E124)+1)/DAY(F124)))</f>
        <v/>
      </c>
      <c r="H124" s="129"/>
      <c r="I124" s="130" t="str">
        <f>IF($B123="","",IF($B123+1&gt;'Qredits maandlasten'!$C$4,"",I123-J123))</f>
        <v/>
      </c>
      <c r="J124" s="130" t="str">
        <f>IF($B123="","",IF($B123+1&gt;'Qredits maandlasten'!$C$4,"",IF(B123&lt;'Qredits maandlasten'!$C$11-1,0,IF('Qredits maandlasten'!$C$10=dropdowns!$A$93,'Qredits maandlasten'!$J$3,IF('Qredits maandlasten'!$C$10=dropdowns!$A$92,IFERROR('Qredits maandlasten'!$J$3-K124,0),0)))))</f>
        <v/>
      </c>
      <c r="K124" s="130" t="str">
        <f>IF($B123="","",IF($B123+1&gt;'Qredits maandlasten'!$C$4,"",G124*I124*'Qredits maandlasten'!$C$8))</f>
        <v/>
      </c>
      <c r="L124" s="130" t="str">
        <f t="shared" si="7"/>
        <v/>
      </c>
      <c r="M124" s="130" t="str">
        <f t="shared" si="5"/>
        <v/>
      </c>
      <c r="N124" s="129"/>
      <c r="O124" s="131" t="str">
        <f>IF($B124="","",'Qredits maandlasten'!$C$8)</f>
        <v/>
      </c>
      <c r="P124" s="131" t="str">
        <f>IF($B124="","",'Qredits maandlasten'!$C$8*(POWER(1+'Qredits maandlasten'!$C$8,$B124-1+1)))</f>
        <v/>
      </c>
      <c r="Q124" s="131" t="str">
        <f t="shared" si="8"/>
        <v/>
      </c>
      <c r="R124" s="129"/>
      <c r="S124" s="130" t="str">
        <f t="shared" si="6"/>
        <v/>
      </c>
      <c r="T124" s="130" t="str">
        <f>IF(S124="","",J124/(POWER(1+'Qredits maandlasten'!$C$8,$B124-1+1)))</f>
        <v/>
      </c>
      <c r="U124" s="132" t="str">
        <f t="shared" si="9"/>
        <v/>
      </c>
      <c r="V124" s="130" t="str">
        <f>IF($B124="","",K124/(POWER(1+'Qredits maandlasten'!$C$8,$B124-1+1)))</f>
        <v/>
      </c>
      <c r="W124" s="129"/>
    </row>
    <row r="125" spans="1:23" s="134" customFormat="1" x14ac:dyDescent="0.2">
      <c r="A125" s="125"/>
      <c r="B125" s="126" t="str">
        <f>IF($B124="","",IF($B124+1&gt;'Qredits maandlasten'!$C$4,"",Schema!B124+1))</f>
        <v/>
      </c>
      <c r="C125" s="127" t="str">
        <f>IF($B124="","",IF($B124+1&gt;'Qredits maandlasten'!$C$4,"",EOMONTH(C124,0)+1))</f>
        <v/>
      </c>
      <c r="D125" s="125"/>
      <c r="E125" s="127" t="str">
        <f>IF($B124="","",IF($B124+1&gt;'Qredits maandlasten'!$C$4,"",F124+1))</f>
        <v/>
      </c>
      <c r="F125" s="127" t="str">
        <f>IF($B124="","",IF($B124+1&gt;'Qredits maandlasten'!$C$4,"",EOMONTH(E125,0)))</f>
        <v/>
      </c>
      <c r="G125" s="128" t="str">
        <f>IF($B124="","",IF($B124+1&gt;'Qredits maandlasten'!$C$4,"",(_xlfn.DAYS(F125,E125)+1)/DAY(F125)))</f>
        <v/>
      </c>
      <c r="H125" s="129"/>
      <c r="I125" s="130" t="str">
        <f>IF($B124="","",IF($B124+1&gt;'Qredits maandlasten'!$C$4,"",I124-J124))</f>
        <v/>
      </c>
      <c r="J125" s="130" t="str">
        <f>IF($B124="","",IF($B124+1&gt;'Qredits maandlasten'!$C$4,"",IF(B124&lt;'Qredits maandlasten'!$C$11-1,0,IF('Qredits maandlasten'!$C$10=dropdowns!$A$93,'Qredits maandlasten'!$J$3,IF('Qredits maandlasten'!$C$10=dropdowns!$A$92,IFERROR('Qredits maandlasten'!$J$3-K125,0),0)))))</f>
        <v/>
      </c>
      <c r="K125" s="130" t="str">
        <f>IF($B124="","",IF($B124+1&gt;'Qredits maandlasten'!$C$4,"",G125*I125*'Qredits maandlasten'!$C$8))</f>
        <v/>
      </c>
      <c r="L125" s="130" t="str">
        <f t="shared" si="7"/>
        <v/>
      </c>
      <c r="M125" s="130" t="str">
        <f t="shared" si="5"/>
        <v/>
      </c>
      <c r="N125" s="129"/>
      <c r="O125" s="131" t="str">
        <f>IF($B125="","",'Qredits maandlasten'!$C$8)</f>
        <v/>
      </c>
      <c r="P125" s="131" t="str">
        <f>IF($B125="","",'Qredits maandlasten'!$C$8*(POWER(1+'Qredits maandlasten'!$C$8,$B125-1+1)))</f>
        <v/>
      </c>
      <c r="Q125" s="131" t="str">
        <f t="shared" si="8"/>
        <v/>
      </c>
      <c r="R125" s="129"/>
      <c r="S125" s="130" t="str">
        <f t="shared" si="6"/>
        <v/>
      </c>
      <c r="T125" s="130" t="str">
        <f>IF(S125="","",J125/(POWER(1+'Qredits maandlasten'!$C$8,$B125-1+1)))</f>
        <v/>
      </c>
      <c r="U125" s="132" t="str">
        <f t="shared" si="9"/>
        <v/>
      </c>
      <c r="V125" s="130" t="str">
        <f>IF($B125="","",K125/(POWER(1+'Qredits maandlasten'!$C$8,$B125-1+1)))</f>
        <v/>
      </c>
      <c r="W125" s="129"/>
    </row>
    <row r="126" spans="1:23" s="134" customFormat="1" x14ac:dyDescent="0.2">
      <c r="A126" s="125"/>
      <c r="B126" s="126" t="str">
        <f>IF($B125="","",IF($B125+1&gt;'Qredits maandlasten'!$C$4,"",Schema!B125+1))</f>
        <v/>
      </c>
      <c r="C126" s="127" t="str">
        <f>IF($B125="","",IF($B125+1&gt;'Qredits maandlasten'!$C$4,"",EOMONTH(C125,0)+1))</f>
        <v/>
      </c>
      <c r="D126" s="125"/>
      <c r="E126" s="127" t="str">
        <f>IF($B125="","",IF($B125+1&gt;'Qredits maandlasten'!$C$4,"",F125+1))</f>
        <v/>
      </c>
      <c r="F126" s="127" t="str">
        <f>IF($B125="","",IF($B125+1&gt;'Qredits maandlasten'!$C$4,"",EOMONTH(E126,0)))</f>
        <v/>
      </c>
      <c r="G126" s="128" t="str">
        <f>IF($B125="","",IF($B125+1&gt;'Qredits maandlasten'!$C$4,"",(_xlfn.DAYS(F126,E126)+1)/DAY(F126)))</f>
        <v/>
      </c>
      <c r="H126" s="129"/>
      <c r="I126" s="130" t="str">
        <f>IF($B125="","",IF($B125+1&gt;'Qredits maandlasten'!$C$4,"",I125-J125))</f>
        <v/>
      </c>
      <c r="J126" s="130" t="str">
        <f>IF($B125="","",IF($B125+1&gt;'Qredits maandlasten'!$C$4,"",IF(B125&lt;'Qredits maandlasten'!$C$11-1,0,IF('Qredits maandlasten'!$C$10=dropdowns!$A$93,'Qredits maandlasten'!$J$3,IF('Qredits maandlasten'!$C$10=dropdowns!$A$92,IFERROR('Qredits maandlasten'!$J$3-K126,0),0)))))</f>
        <v/>
      </c>
      <c r="K126" s="130" t="str">
        <f>IF($B125="","",IF($B125+1&gt;'Qredits maandlasten'!$C$4,"",G126*I126*'Qredits maandlasten'!$C$8))</f>
        <v/>
      </c>
      <c r="L126" s="130" t="str">
        <f t="shared" si="7"/>
        <v/>
      </c>
      <c r="M126" s="130" t="str">
        <f t="shared" si="5"/>
        <v/>
      </c>
      <c r="N126" s="129"/>
      <c r="O126" s="131" t="str">
        <f>IF($B126="","",'Qredits maandlasten'!$C$8)</f>
        <v/>
      </c>
      <c r="P126" s="131" t="str">
        <f>IF($B126="","",'Qredits maandlasten'!$C$8*(POWER(1+'Qredits maandlasten'!$C$8,$B126-1+1)))</f>
        <v/>
      </c>
      <c r="Q126" s="131" t="str">
        <f t="shared" si="8"/>
        <v/>
      </c>
      <c r="R126" s="129"/>
      <c r="S126" s="130" t="str">
        <f t="shared" si="6"/>
        <v/>
      </c>
      <c r="T126" s="130" t="str">
        <f>IF(S126="","",J126/(POWER(1+'Qredits maandlasten'!$C$8,$B126-1+1)))</f>
        <v/>
      </c>
      <c r="U126" s="132" t="str">
        <f t="shared" si="9"/>
        <v/>
      </c>
      <c r="V126" s="130" t="str">
        <f>IF($B126="","",K126/(POWER(1+'Qredits maandlasten'!$C$8,$B126-1+1)))</f>
        <v/>
      </c>
      <c r="W126" s="129"/>
    </row>
    <row r="127" spans="1:23" s="134" customFormat="1" x14ac:dyDescent="0.2">
      <c r="A127" s="125"/>
      <c r="B127" s="126" t="str">
        <f>IF($B126="","",IF($B126+1&gt;'Qredits maandlasten'!$C$4,"",Schema!B126+1))</f>
        <v/>
      </c>
      <c r="C127" s="127" t="str">
        <f>IF($B126="","",IF($B126+1&gt;'Qredits maandlasten'!$C$4,"",EOMONTH(C126,0)+1))</f>
        <v/>
      </c>
      <c r="D127" s="125"/>
      <c r="E127" s="127" t="str">
        <f>IF($B126="","",IF($B126+1&gt;'Qredits maandlasten'!$C$4,"",F126+1))</f>
        <v/>
      </c>
      <c r="F127" s="127" t="str">
        <f>IF($B126="","",IF($B126+1&gt;'Qredits maandlasten'!$C$4,"",EOMONTH(E127,0)))</f>
        <v/>
      </c>
      <c r="G127" s="128" t="str">
        <f>IF($B126="","",IF($B126+1&gt;'Qredits maandlasten'!$C$4,"",(_xlfn.DAYS(F127,E127)+1)/DAY(F127)))</f>
        <v/>
      </c>
      <c r="H127" s="129"/>
      <c r="I127" s="130" t="str">
        <f>IF($B126="","",IF($B126+1&gt;'Qredits maandlasten'!$C$4,"",I126-J126))</f>
        <v/>
      </c>
      <c r="J127" s="130" t="str">
        <f>IF($B126="","",IF($B126+1&gt;'Qredits maandlasten'!$C$4,"",IF(B126&lt;'Qredits maandlasten'!$C$11-1,0,IF('Qredits maandlasten'!$C$10=dropdowns!$A$93,'Qredits maandlasten'!$J$3,IF('Qredits maandlasten'!$C$10=dropdowns!$A$92,IFERROR('Qredits maandlasten'!$J$3-K127,0),0)))))</f>
        <v/>
      </c>
      <c r="K127" s="130" t="str">
        <f>IF($B126="","",IF($B126+1&gt;'Qredits maandlasten'!$C$4,"",G127*I127*'Qredits maandlasten'!$C$8))</f>
        <v/>
      </c>
      <c r="L127" s="130" t="str">
        <f t="shared" si="7"/>
        <v/>
      </c>
      <c r="M127" s="130" t="str">
        <f t="shared" si="5"/>
        <v/>
      </c>
      <c r="N127" s="129"/>
      <c r="O127" s="131" t="str">
        <f>IF($B127="","",'Qredits maandlasten'!$C$8)</f>
        <v/>
      </c>
      <c r="P127" s="131" t="str">
        <f>IF($B127="","",'Qredits maandlasten'!$C$8*(POWER(1+'Qredits maandlasten'!$C$8,$B127-1+1)))</f>
        <v/>
      </c>
      <c r="Q127" s="131" t="str">
        <f t="shared" si="8"/>
        <v/>
      </c>
      <c r="R127" s="129"/>
      <c r="S127" s="130" t="str">
        <f t="shared" si="6"/>
        <v/>
      </c>
      <c r="T127" s="130" t="str">
        <f>IF(S127="","",J127/(POWER(1+'Qredits maandlasten'!$C$8,$B127-1+1)))</f>
        <v/>
      </c>
      <c r="U127" s="132" t="str">
        <f t="shared" si="9"/>
        <v/>
      </c>
      <c r="V127" s="130" t="str">
        <f>IF($B127="","",K127/(POWER(1+'Qredits maandlasten'!$C$8,$B127-1+1)))</f>
        <v/>
      </c>
      <c r="W127" s="129"/>
    </row>
    <row r="128" spans="1:23" s="134" customFormat="1" x14ac:dyDescent="0.2">
      <c r="A128" s="125"/>
      <c r="B128" s="126" t="str">
        <f>IF($B127="","",IF($B127+1&gt;'Qredits maandlasten'!$C$4,"",Schema!B127+1))</f>
        <v/>
      </c>
      <c r="C128" s="127" t="str">
        <f>IF($B127="","",IF($B127+1&gt;'Qredits maandlasten'!$C$4,"",EOMONTH(C127,0)+1))</f>
        <v/>
      </c>
      <c r="D128" s="125"/>
      <c r="E128" s="127" t="str">
        <f>IF($B127="","",IF($B127+1&gt;'Qredits maandlasten'!$C$4,"",F127+1))</f>
        <v/>
      </c>
      <c r="F128" s="127" t="str">
        <f>IF($B127="","",IF($B127+1&gt;'Qredits maandlasten'!$C$4,"",EOMONTH(E128,0)))</f>
        <v/>
      </c>
      <c r="G128" s="128" t="str">
        <f>IF($B127="","",IF($B127+1&gt;'Qredits maandlasten'!$C$4,"",(_xlfn.DAYS(F128,E128)+1)/DAY(F128)))</f>
        <v/>
      </c>
      <c r="H128" s="129"/>
      <c r="I128" s="130" t="str">
        <f>IF($B127="","",IF($B127+1&gt;'Qredits maandlasten'!$C$4,"",I127-J127))</f>
        <v/>
      </c>
      <c r="J128" s="130" t="str">
        <f>IF($B127="","",IF($B127+1&gt;'Qredits maandlasten'!$C$4,"",IF(B127&lt;'Qredits maandlasten'!$C$11-1,0,IF('Qredits maandlasten'!$C$10=dropdowns!$A$93,'Qredits maandlasten'!$J$3,IF('Qredits maandlasten'!$C$10=dropdowns!$A$92,IFERROR('Qredits maandlasten'!$J$3-K128,0),0)))))</f>
        <v/>
      </c>
      <c r="K128" s="130" t="str">
        <f>IF($B127="","",IF($B127+1&gt;'Qredits maandlasten'!$C$4,"",G128*I128*'Qredits maandlasten'!$C$8))</f>
        <v/>
      </c>
      <c r="L128" s="130" t="str">
        <f t="shared" si="7"/>
        <v/>
      </c>
      <c r="M128" s="130" t="str">
        <f t="shared" si="5"/>
        <v/>
      </c>
      <c r="N128" s="129"/>
      <c r="O128" s="131" t="str">
        <f>IF($B128="","",'Qredits maandlasten'!$C$8)</f>
        <v/>
      </c>
      <c r="P128" s="131" t="str">
        <f>IF($B128="","",'Qredits maandlasten'!$C$8*(POWER(1+'Qredits maandlasten'!$C$8,$B128-1+1)))</f>
        <v/>
      </c>
      <c r="Q128" s="131" t="str">
        <f t="shared" si="8"/>
        <v/>
      </c>
      <c r="R128" s="129"/>
      <c r="S128" s="130" t="str">
        <f t="shared" si="6"/>
        <v/>
      </c>
      <c r="T128" s="130" t="str">
        <f>IF(S128="","",J128/(POWER(1+'Qredits maandlasten'!$C$8,$B128-1+1)))</f>
        <v/>
      </c>
      <c r="U128" s="132" t="str">
        <f t="shared" si="9"/>
        <v/>
      </c>
      <c r="V128" s="130" t="str">
        <f>IF($B128="","",K128/(POWER(1+'Qredits maandlasten'!$C$8,$B128-1+1)))</f>
        <v/>
      </c>
      <c r="W128" s="129"/>
    </row>
    <row r="129" spans="1:23" s="134" customFormat="1" x14ac:dyDescent="0.2">
      <c r="A129" s="125"/>
      <c r="B129" s="126" t="str">
        <f>IF($B128="","",IF($B128+1&gt;'Qredits maandlasten'!$C$4,"",Schema!B128+1))</f>
        <v/>
      </c>
      <c r="C129" s="127" t="str">
        <f>IF($B128="","",IF($B128+1&gt;'Qredits maandlasten'!$C$4,"",EOMONTH(C128,0)+1))</f>
        <v/>
      </c>
      <c r="D129" s="125"/>
      <c r="E129" s="127" t="str">
        <f>IF($B128="","",IF($B128+1&gt;'Qredits maandlasten'!$C$4,"",F128+1))</f>
        <v/>
      </c>
      <c r="F129" s="127" t="str">
        <f>IF($B128="","",IF($B128+1&gt;'Qredits maandlasten'!$C$4,"",EOMONTH(E129,0)))</f>
        <v/>
      </c>
      <c r="G129" s="128" t="str">
        <f>IF($B128="","",IF($B128+1&gt;'Qredits maandlasten'!$C$4,"",(_xlfn.DAYS(F129,E129)+1)/DAY(F129)))</f>
        <v/>
      </c>
      <c r="H129" s="129"/>
      <c r="I129" s="130" t="str">
        <f>IF($B128="","",IF($B128+1&gt;'Qredits maandlasten'!$C$4,"",I128-J128))</f>
        <v/>
      </c>
      <c r="J129" s="130" t="str">
        <f>IF($B128="","",IF($B128+1&gt;'Qredits maandlasten'!$C$4,"",IF(B128&lt;'Qredits maandlasten'!$C$11-1,0,IF('Qredits maandlasten'!$C$10=dropdowns!$A$93,'Qredits maandlasten'!$J$3,IF('Qredits maandlasten'!$C$10=dropdowns!$A$92,IFERROR('Qredits maandlasten'!$J$3-K129,0),0)))))</f>
        <v/>
      </c>
      <c r="K129" s="130" t="str">
        <f>IF($B128="","",IF($B128+1&gt;'Qredits maandlasten'!$C$4,"",G129*I129*'Qredits maandlasten'!$C$8))</f>
        <v/>
      </c>
      <c r="L129" s="130" t="str">
        <f t="shared" si="7"/>
        <v/>
      </c>
      <c r="M129" s="130" t="str">
        <f t="shared" si="5"/>
        <v/>
      </c>
      <c r="N129" s="129"/>
      <c r="O129" s="131" t="str">
        <f>IF($B129="","",'Qredits maandlasten'!$C$8)</f>
        <v/>
      </c>
      <c r="P129" s="131" t="str">
        <f>IF($B129="","",'Qredits maandlasten'!$C$8*(POWER(1+'Qredits maandlasten'!$C$8,$B129-1+1)))</f>
        <v/>
      </c>
      <c r="Q129" s="131" t="str">
        <f t="shared" si="8"/>
        <v/>
      </c>
      <c r="R129" s="129"/>
      <c r="S129" s="130" t="str">
        <f t="shared" si="6"/>
        <v/>
      </c>
      <c r="T129" s="130" t="str">
        <f>IF(S129="","",J129/(POWER(1+'Qredits maandlasten'!$C$8,$B129-1+1)))</f>
        <v/>
      </c>
      <c r="U129" s="132" t="str">
        <f t="shared" si="9"/>
        <v/>
      </c>
      <c r="V129" s="130" t="str">
        <f>IF($B129="","",K129/(POWER(1+'Qredits maandlasten'!$C$8,$B129-1+1)))</f>
        <v/>
      </c>
      <c r="W129" s="129"/>
    </row>
    <row r="130" spans="1:23" s="134" customFormat="1" x14ac:dyDescent="0.2">
      <c r="A130" s="125"/>
      <c r="B130" s="126" t="str">
        <f>IF($B129="","",IF($B129+1&gt;'Qredits maandlasten'!$C$4,"",Schema!B129+1))</f>
        <v/>
      </c>
      <c r="C130" s="127" t="str">
        <f>IF($B129="","",IF($B129+1&gt;'Qredits maandlasten'!$C$4,"",EOMONTH(C129,0)+1))</f>
        <v/>
      </c>
      <c r="D130" s="125"/>
      <c r="E130" s="127" t="str">
        <f>IF($B129="","",IF($B129+1&gt;'Qredits maandlasten'!$C$4,"",F129+1))</f>
        <v/>
      </c>
      <c r="F130" s="127" t="str">
        <f>IF($B129="","",IF($B129+1&gt;'Qredits maandlasten'!$C$4,"",EOMONTH(E130,0)))</f>
        <v/>
      </c>
      <c r="G130" s="128" t="str">
        <f>IF($B129="","",IF($B129+1&gt;'Qredits maandlasten'!$C$4,"",(_xlfn.DAYS(F130,E130)+1)/DAY(F130)))</f>
        <v/>
      </c>
      <c r="H130" s="129"/>
      <c r="I130" s="130" t="str">
        <f>IF($B129="","",IF($B129+1&gt;'Qredits maandlasten'!$C$4,"",I129-J129))</f>
        <v/>
      </c>
      <c r="J130" s="130" t="str">
        <f>IF($B129="","",IF($B129+1&gt;'Qredits maandlasten'!$C$4,"",IF(B129&lt;'Qredits maandlasten'!$C$11-1,0,IF('Qredits maandlasten'!$C$10=dropdowns!$A$93,'Qredits maandlasten'!$J$3,IF('Qredits maandlasten'!$C$10=dropdowns!$A$92,IFERROR('Qredits maandlasten'!$J$3-K130,0),0)))))</f>
        <v/>
      </c>
      <c r="K130" s="130" t="str">
        <f>IF($B129="","",IF($B129+1&gt;'Qredits maandlasten'!$C$4,"",G130*I130*'Qredits maandlasten'!$C$8))</f>
        <v/>
      </c>
      <c r="L130" s="130" t="str">
        <f t="shared" si="7"/>
        <v/>
      </c>
      <c r="M130" s="130" t="str">
        <f t="shared" si="5"/>
        <v/>
      </c>
      <c r="N130" s="129"/>
      <c r="O130" s="131" t="str">
        <f>IF($B130="","",'Qredits maandlasten'!$C$8)</f>
        <v/>
      </c>
      <c r="P130" s="131" t="str">
        <f>IF($B130="","",'Qredits maandlasten'!$C$8*(POWER(1+'Qredits maandlasten'!$C$8,$B130-1+1)))</f>
        <v/>
      </c>
      <c r="Q130" s="131" t="str">
        <f t="shared" si="8"/>
        <v/>
      </c>
      <c r="R130" s="129"/>
      <c r="S130" s="130" t="str">
        <f t="shared" si="6"/>
        <v/>
      </c>
      <c r="T130" s="130" t="str">
        <f>IF(S130="","",J130/(POWER(1+'Qredits maandlasten'!$C$8,$B130-1+1)))</f>
        <v/>
      </c>
      <c r="U130" s="132" t="str">
        <f t="shared" si="9"/>
        <v/>
      </c>
      <c r="V130" s="130" t="str">
        <f>IF($B130="","",K130/(POWER(1+'Qredits maandlasten'!$C$8,$B130-1+1)))</f>
        <v/>
      </c>
      <c r="W130" s="129"/>
    </row>
    <row r="131" spans="1:23" s="134" customFormat="1" x14ac:dyDescent="0.2">
      <c r="A131" s="125"/>
      <c r="B131" s="126" t="str">
        <f>IF($B130="","",IF($B130+1&gt;'Qredits maandlasten'!$C$4,"",Schema!B130+1))</f>
        <v/>
      </c>
      <c r="C131" s="127" t="str">
        <f>IF($B130="","",IF($B130+1&gt;'Qredits maandlasten'!$C$4,"",EOMONTH(C130,0)+1))</f>
        <v/>
      </c>
      <c r="D131" s="125"/>
      <c r="E131" s="127" t="str">
        <f>IF($B130="","",IF($B130+1&gt;'Qredits maandlasten'!$C$4,"",F130+1))</f>
        <v/>
      </c>
      <c r="F131" s="127" t="str">
        <f>IF($B130="","",IF($B130+1&gt;'Qredits maandlasten'!$C$4,"",EOMONTH(E131,0)))</f>
        <v/>
      </c>
      <c r="G131" s="128" t="str">
        <f>IF($B130="","",IF($B130+1&gt;'Qredits maandlasten'!$C$4,"",(_xlfn.DAYS(F131,E131)+1)/DAY(F131)))</f>
        <v/>
      </c>
      <c r="H131" s="129"/>
      <c r="I131" s="130" t="str">
        <f>IF($B130="","",IF($B130+1&gt;'Qredits maandlasten'!$C$4,"",I130-J130))</f>
        <v/>
      </c>
      <c r="J131" s="130" t="str">
        <f>IF($B130="","",IF($B130+1&gt;'Qredits maandlasten'!$C$4,"",IF(B130&lt;'Qredits maandlasten'!$C$11-1,0,IF('Qredits maandlasten'!$C$10=dropdowns!$A$93,'Qredits maandlasten'!$J$3,IF('Qredits maandlasten'!$C$10=dropdowns!$A$92,IFERROR('Qredits maandlasten'!$J$3-K131,0),0)))))</f>
        <v/>
      </c>
      <c r="K131" s="130" t="str">
        <f>IF($B130="","",IF($B130+1&gt;'Qredits maandlasten'!$C$4,"",G131*I131*'Qredits maandlasten'!$C$8))</f>
        <v/>
      </c>
      <c r="L131" s="130" t="str">
        <f t="shared" si="7"/>
        <v/>
      </c>
      <c r="M131" s="130" t="str">
        <f t="shared" si="5"/>
        <v/>
      </c>
      <c r="N131" s="129"/>
      <c r="O131" s="131" t="str">
        <f>IF($B131="","",'Qredits maandlasten'!$C$8)</f>
        <v/>
      </c>
      <c r="P131" s="131" t="str">
        <f>IF($B131="","",'Qredits maandlasten'!$C$8*(POWER(1+'Qredits maandlasten'!$C$8,$B131-1+1)))</f>
        <v/>
      </c>
      <c r="Q131" s="131" t="str">
        <f t="shared" si="8"/>
        <v/>
      </c>
      <c r="R131" s="129"/>
      <c r="S131" s="130" t="str">
        <f t="shared" si="6"/>
        <v/>
      </c>
      <c r="T131" s="130" t="str">
        <f>IF(S131="","",J131/(POWER(1+'Qredits maandlasten'!$C$8,$B131-1+1)))</f>
        <v/>
      </c>
      <c r="U131" s="132" t="str">
        <f t="shared" si="9"/>
        <v/>
      </c>
      <c r="V131" s="130" t="str">
        <f>IF($B131="","",K131/(POWER(1+'Qredits maandlasten'!$C$8,$B131-1+1)))</f>
        <v/>
      </c>
      <c r="W131" s="129"/>
    </row>
    <row r="132" spans="1:23" s="134" customFormat="1" x14ac:dyDescent="0.2">
      <c r="A132" s="125"/>
      <c r="B132" s="126" t="str">
        <f>IF($B131="","",IF($B131+1&gt;'Qredits maandlasten'!$C$4,"",Schema!B131+1))</f>
        <v/>
      </c>
      <c r="C132" s="127" t="str">
        <f>IF($B131="","",IF($B131+1&gt;'Qredits maandlasten'!$C$4,"",EOMONTH(C131,0)+1))</f>
        <v/>
      </c>
      <c r="D132" s="125"/>
      <c r="E132" s="127" t="str">
        <f>IF($B131="","",IF($B131+1&gt;'Qredits maandlasten'!$C$4,"",F131+1))</f>
        <v/>
      </c>
      <c r="F132" s="127" t="str">
        <f>IF($B131="","",IF($B131+1&gt;'Qredits maandlasten'!$C$4,"",EOMONTH(E132,0)))</f>
        <v/>
      </c>
      <c r="G132" s="128" t="str">
        <f>IF($B131="","",IF($B131+1&gt;'Qredits maandlasten'!$C$4,"",(_xlfn.DAYS(F132,E132)+1)/DAY(F132)))</f>
        <v/>
      </c>
      <c r="H132" s="129"/>
      <c r="I132" s="130" t="str">
        <f>IF($B131="","",IF($B131+1&gt;'Qredits maandlasten'!$C$4,"",I131-J131))</f>
        <v/>
      </c>
      <c r="J132" s="130" t="str">
        <f>IF($B131="","",IF($B131+1&gt;'Qredits maandlasten'!$C$4,"",IF(B131&lt;'Qredits maandlasten'!$C$11-1,0,IF('Qredits maandlasten'!$C$10=dropdowns!$A$93,'Qredits maandlasten'!$J$3,IF('Qredits maandlasten'!$C$10=dropdowns!$A$92,IFERROR('Qredits maandlasten'!$J$3-K132,0),0)))))</f>
        <v/>
      </c>
      <c r="K132" s="130" t="str">
        <f>IF($B131="","",IF($B131+1&gt;'Qredits maandlasten'!$C$4,"",G132*I132*'Qredits maandlasten'!$C$8))</f>
        <v/>
      </c>
      <c r="L132" s="130" t="str">
        <f t="shared" si="7"/>
        <v/>
      </c>
      <c r="M132" s="130" t="str">
        <f t="shared" si="5"/>
        <v/>
      </c>
      <c r="N132" s="129"/>
      <c r="O132" s="131" t="str">
        <f>IF($B132="","",'Qredits maandlasten'!$C$8)</f>
        <v/>
      </c>
      <c r="P132" s="131" t="str">
        <f>IF($B132="","",'Qredits maandlasten'!$C$8*(POWER(1+'Qredits maandlasten'!$C$8,$B132-1+1)))</f>
        <v/>
      </c>
      <c r="Q132" s="131" t="str">
        <f t="shared" si="8"/>
        <v/>
      </c>
      <c r="R132" s="129"/>
      <c r="S132" s="130" t="str">
        <f t="shared" si="6"/>
        <v/>
      </c>
      <c r="T132" s="130" t="str">
        <f>IF(S132="","",J132/(POWER(1+'Qredits maandlasten'!$C$8,$B132-1+1)))</f>
        <v/>
      </c>
      <c r="U132" s="132" t="str">
        <f t="shared" si="9"/>
        <v/>
      </c>
      <c r="V132" s="130" t="str">
        <f>IF($B132="","",K132/(POWER(1+'Qredits maandlasten'!$C$8,$B132-1+1)))</f>
        <v/>
      </c>
      <c r="W132" s="129"/>
    </row>
    <row r="133" spans="1:23" s="134" customFormat="1" x14ac:dyDescent="0.2">
      <c r="A133" s="125"/>
      <c r="B133" s="126" t="str">
        <f>IF($B132="","",IF($B132+1&gt;'Qredits maandlasten'!$C$4,"",Schema!B132+1))</f>
        <v/>
      </c>
      <c r="C133" s="127" t="str">
        <f>IF($B132="","",IF($B132+1&gt;'Qredits maandlasten'!$C$4,"",EOMONTH(C132,0)+1))</f>
        <v/>
      </c>
      <c r="D133" s="125"/>
      <c r="E133" s="127" t="str">
        <f>IF($B132="","",IF($B132+1&gt;'Qredits maandlasten'!$C$4,"",F132+1))</f>
        <v/>
      </c>
      <c r="F133" s="127" t="str">
        <f>IF($B132="","",IF($B132+1&gt;'Qredits maandlasten'!$C$4,"",EOMONTH(E133,0)))</f>
        <v/>
      </c>
      <c r="G133" s="128" t="str">
        <f>IF($B132="","",IF($B132+1&gt;'Qredits maandlasten'!$C$4,"",(_xlfn.DAYS(F133,E133)+1)/DAY(F133)))</f>
        <v/>
      </c>
      <c r="H133" s="129"/>
      <c r="I133" s="130" t="str">
        <f>IF($B132="","",IF($B132+1&gt;'Qredits maandlasten'!$C$4,"",I132-J132))</f>
        <v/>
      </c>
      <c r="J133" s="130" t="str">
        <f>IF($B132="","",IF($B132+1&gt;'Qredits maandlasten'!$C$4,"",IF(B132&lt;'Qredits maandlasten'!$C$11-1,0,IF('Qredits maandlasten'!$C$10=dropdowns!$A$93,'Qredits maandlasten'!$J$3,IF('Qredits maandlasten'!$C$10=dropdowns!$A$92,IFERROR('Qredits maandlasten'!$J$3-K133,0),0)))))</f>
        <v/>
      </c>
      <c r="K133" s="130" t="str">
        <f>IF($B132="","",IF($B132+1&gt;'Qredits maandlasten'!$C$4,"",G133*I133*'Qredits maandlasten'!$C$8))</f>
        <v/>
      </c>
      <c r="L133" s="130" t="str">
        <f t="shared" si="7"/>
        <v/>
      </c>
      <c r="M133" s="130" t="str">
        <f t="shared" si="5"/>
        <v/>
      </c>
      <c r="N133" s="129"/>
      <c r="O133" s="131" t="str">
        <f>IF($B133="","",'Qredits maandlasten'!$C$8)</f>
        <v/>
      </c>
      <c r="P133" s="131" t="str">
        <f>IF($B133="","",'Qredits maandlasten'!$C$8*(POWER(1+'Qredits maandlasten'!$C$8,$B133-1+1)))</f>
        <v/>
      </c>
      <c r="Q133" s="131" t="str">
        <f t="shared" si="8"/>
        <v/>
      </c>
      <c r="R133" s="129"/>
      <c r="S133" s="130" t="str">
        <f t="shared" si="6"/>
        <v/>
      </c>
      <c r="T133" s="130" t="str">
        <f>IF(S133="","",J133/(POWER(1+'Qredits maandlasten'!$C$8,$B133-1+1)))</f>
        <v/>
      </c>
      <c r="U133" s="132" t="str">
        <f t="shared" si="9"/>
        <v/>
      </c>
      <c r="V133" s="130" t="str">
        <f>IF($B133="","",K133/(POWER(1+'Qredits maandlasten'!$C$8,$B133-1+1)))</f>
        <v/>
      </c>
      <c r="W133" s="129"/>
    </row>
    <row r="134" spans="1:23" s="134" customFormat="1" x14ac:dyDescent="0.2">
      <c r="A134" s="125"/>
      <c r="B134" s="126" t="str">
        <f>IF($B133="","",IF($B133+1&gt;'Qredits maandlasten'!$C$4,"",Schema!B133+1))</f>
        <v/>
      </c>
      <c r="C134" s="127" t="str">
        <f>IF($B133="","",IF($B133+1&gt;'Qredits maandlasten'!$C$4,"",EOMONTH(C133,0)+1))</f>
        <v/>
      </c>
      <c r="D134" s="125"/>
      <c r="E134" s="127" t="str">
        <f>IF($B133="","",IF($B133+1&gt;'Qredits maandlasten'!$C$4,"",F133+1))</f>
        <v/>
      </c>
      <c r="F134" s="127" t="str">
        <f>IF($B133="","",IF($B133+1&gt;'Qredits maandlasten'!$C$4,"",EOMONTH(E134,0)))</f>
        <v/>
      </c>
      <c r="G134" s="128" t="str">
        <f>IF($B133="","",IF($B133+1&gt;'Qredits maandlasten'!$C$4,"",(_xlfn.DAYS(F134,E134)+1)/DAY(F134)))</f>
        <v/>
      </c>
      <c r="H134" s="129"/>
      <c r="I134" s="130" t="str">
        <f>IF($B133="","",IF($B133+1&gt;'Qredits maandlasten'!$C$4,"",I133-J133))</f>
        <v/>
      </c>
      <c r="J134" s="130" t="str">
        <f>IF($B133="","",IF($B133+1&gt;'Qredits maandlasten'!$C$4,"",IF(B133&lt;'Qredits maandlasten'!$C$11-1,0,IF('Qredits maandlasten'!$C$10=dropdowns!$A$93,'Qredits maandlasten'!$J$3,IF('Qredits maandlasten'!$C$10=dropdowns!$A$92,IFERROR('Qredits maandlasten'!$J$3-K134,0),0)))))</f>
        <v/>
      </c>
      <c r="K134" s="130" t="str">
        <f>IF($B133="","",IF($B133+1&gt;'Qredits maandlasten'!$C$4,"",G134*I134*'Qredits maandlasten'!$C$8))</f>
        <v/>
      </c>
      <c r="L134" s="130" t="str">
        <f t="shared" si="7"/>
        <v/>
      </c>
      <c r="M134" s="130" t="str">
        <f t="shared" si="5"/>
        <v/>
      </c>
      <c r="N134" s="129"/>
      <c r="O134" s="131" t="str">
        <f>IF($B134="","",'Qredits maandlasten'!$C$8)</f>
        <v/>
      </c>
      <c r="P134" s="131" t="str">
        <f>IF($B134="","",'Qredits maandlasten'!$C$8*(POWER(1+'Qredits maandlasten'!$C$8,$B134-1+1)))</f>
        <v/>
      </c>
      <c r="Q134" s="131" t="str">
        <f t="shared" si="8"/>
        <v/>
      </c>
      <c r="R134" s="129"/>
      <c r="S134" s="130" t="str">
        <f t="shared" si="6"/>
        <v/>
      </c>
      <c r="T134" s="130" t="str">
        <f>IF(S134="","",J134/(POWER(1+'Qredits maandlasten'!$C$8,$B134-1+1)))</f>
        <v/>
      </c>
      <c r="U134" s="132" t="str">
        <f t="shared" si="9"/>
        <v/>
      </c>
      <c r="V134" s="130" t="str">
        <f>IF($B134="","",K134/(POWER(1+'Qredits maandlasten'!$C$8,$B134-1+1)))</f>
        <v/>
      </c>
      <c r="W134" s="129"/>
    </row>
    <row r="135" spans="1:23" s="134" customFormat="1" x14ac:dyDescent="0.2">
      <c r="A135" s="125"/>
      <c r="B135" s="126" t="str">
        <f>IF($B134="","",IF($B134+1&gt;'Qredits maandlasten'!$C$4,"",Schema!B134+1))</f>
        <v/>
      </c>
      <c r="C135" s="127" t="str">
        <f>IF($B134="","",IF($B134+1&gt;'Qredits maandlasten'!$C$4,"",EOMONTH(C134,0)+1))</f>
        <v/>
      </c>
      <c r="D135" s="125"/>
      <c r="E135" s="127" t="str">
        <f>IF($B134="","",IF($B134+1&gt;'Qredits maandlasten'!$C$4,"",F134+1))</f>
        <v/>
      </c>
      <c r="F135" s="127" t="str">
        <f>IF($B134="","",IF($B134+1&gt;'Qredits maandlasten'!$C$4,"",EOMONTH(E135,0)))</f>
        <v/>
      </c>
      <c r="G135" s="128" t="str">
        <f>IF($B134="","",IF($B134+1&gt;'Qredits maandlasten'!$C$4,"",(_xlfn.DAYS(F135,E135)+1)/DAY(F135)))</f>
        <v/>
      </c>
      <c r="H135" s="129"/>
      <c r="I135" s="130" t="str">
        <f>IF($B134="","",IF($B134+1&gt;'Qredits maandlasten'!$C$4,"",I134-J134))</f>
        <v/>
      </c>
      <c r="J135" s="130" t="str">
        <f>IF($B134="","",IF($B134+1&gt;'Qredits maandlasten'!$C$4,"",IF(B134&lt;'Qredits maandlasten'!$C$11-1,0,IF('Qredits maandlasten'!$C$10=dropdowns!$A$93,'Qredits maandlasten'!$J$3,IF('Qredits maandlasten'!$C$10=dropdowns!$A$92,IFERROR('Qredits maandlasten'!$J$3-K135,0),0)))))</f>
        <v/>
      </c>
      <c r="K135" s="130" t="str">
        <f>IF($B134="","",IF($B134+1&gt;'Qredits maandlasten'!$C$4,"",G135*I135*'Qredits maandlasten'!$C$8))</f>
        <v/>
      </c>
      <c r="L135" s="130" t="str">
        <f t="shared" si="7"/>
        <v/>
      </c>
      <c r="M135" s="130" t="str">
        <f t="shared" si="5"/>
        <v/>
      </c>
      <c r="N135" s="129"/>
      <c r="O135" s="131" t="str">
        <f>IF($B135="","",'Qredits maandlasten'!$C$8)</f>
        <v/>
      </c>
      <c r="P135" s="131" t="str">
        <f>IF($B135="","",'Qredits maandlasten'!$C$8*(POWER(1+'Qredits maandlasten'!$C$8,$B135-1+1)))</f>
        <v/>
      </c>
      <c r="Q135" s="131" t="str">
        <f t="shared" si="8"/>
        <v/>
      </c>
      <c r="R135" s="129"/>
      <c r="S135" s="130" t="str">
        <f t="shared" si="6"/>
        <v/>
      </c>
      <c r="T135" s="130" t="str">
        <f>IF(S135="","",J135/(POWER(1+'Qredits maandlasten'!$C$8,$B135-1+1)))</f>
        <v/>
      </c>
      <c r="U135" s="132" t="str">
        <f t="shared" si="9"/>
        <v/>
      </c>
      <c r="V135" s="130" t="str">
        <f>IF($B135="","",K135/(POWER(1+'Qredits maandlasten'!$C$8,$B135-1+1)))</f>
        <v/>
      </c>
      <c r="W135" s="129"/>
    </row>
    <row r="136" spans="1:23" s="134" customFormat="1" x14ac:dyDescent="0.2">
      <c r="A136" s="125"/>
      <c r="B136" s="126" t="str">
        <f>IF($B135="","",IF($B135+1&gt;'Qredits maandlasten'!$C$4,"",Schema!B135+1))</f>
        <v/>
      </c>
      <c r="C136" s="127" t="str">
        <f>IF($B135="","",IF($B135+1&gt;'Qredits maandlasten'!$C$4,"",EOMONTH(C135,0)+1))</f>
        <v/>
      </c>
      <c r="D136" s="125"/>
      <c r="E136" s="127" t="str">
        <f>IF($B135="","",IF($B135+1&gt;'Qredits maandlasten'!$C$4,"",F135+1))</f>
        <v/>
      </c>
      <c r="F136" s="127" t="str">
        <f>IF($B135="","",IF($B135+1&gt;'Qredits maandlasten'!$C$4,"",EOMONTH(E136,0)))</f>
        <v/>
      </c>
      <c r="G136" s="128" t="str">
        <f>IF($B135="","",IF($B135+1&gt;'Qredits maandlasten'!$C$4,"",(_xlfn.DAYS(F136,E136)+1)/DAY(F136)))</f>
        <v/>
      </c>
      <c r="H136" s="129"/>
      <c r="I136" s="130" t="str">
        <f>IF($B135="","",IF($B135+1&gt;'Qredits maandlasten'!$C$4,"",I135-J135))</f>
        <v/>
      </c>
      <c r="J136" s="130" t="str">
        <f>IF($B135="","",IF($B135+1&gt;'Qredits maandlasten'!$C$4,"",IF(B135&lt;'Qredits maandlasten'!$C$11-1,0,IF('Qredits maandlasten'!$C$10=dropdowns!$A$93,'Qredits maandlasten'!$J$3,IF('Qredits maandlasten'!$C$10=dropdowns!$A$92,IFERROR('Qredits maandlasten'!$J$3-K136,0),0)))))</f>
        <v/>
      </c>
      <c r="K136" s="130" t="str">
        <f>IF($B135="","",IF($B135+1&gt;'Qredits maandlasten'!$C$4,"",G136*I136*'Qredits maandlasten'!$C$8))</f>
        <v/>
      </c>
      <c r="L136" s="130" t="str">
        <f t="shared" si="7"/>
        <v/>
      </c>
      <c r="M136" s="130" t="str">
        <f t="shared" si="5"/>
        <v/>
      </c>
      <c r="N136" s="129"/>
      <c r="O136" s="131" t="str">
        <f>IF($B136="","",'Qredits maandlasten'!$C$8)</f>
        <v/>
      </c>
      <c r="P136" s="131" t="str">
        <f>IF($B136="","",'Qredits maandlasten'!$C$8*(POWER(1+'Qredits maandlasten'!$C$8,$B136-1+1)))</f>
        <v/>
      </c>
      <c r="Q136" s="131" t="str">
        <f t="shared" si="8"/>
        <v/>
      </c>
      <c r="R136" s="129"/>
      <c r="S136" s="130" t="str">
        <f t="shared" si="6"/>
        <v/>
      </c>
      <c r="T136" s="130" t="str">
        <f>IF(S136="","",J136/(POWER(1+'Qredits maandlasten'!$C$8,$B136-1+1)))</f>
        <v/>
      </c>
      <c r="U136" s="132" t="str">
        <f t="shared" si="9"/>
        <v/>
      </c>
      <c r="V136" s="130" t="str">
        <f>IF($B136="","",K136/(POWER(1+'Qredits maandlasten'!$C$8,$B136-1+1)))</f>
        <v/>
      </c>
      <c r="W136" s="129"/>
    </row>
    <row r="137" spans="1:23" s="134" customFormat="1" x14ac:dyDescent="0.2">
      <c r="A137" s="125"/>
      <c r="B137" s="126" t="str">
        <f>IF($B136="","",IF($B136+1&gt;'Qredits maandlasten'!$C$4,"",Schema!B136+1))</f>
        <v/>
      </c>
      <c r="C137" s="127" t="str">
        <f>IF($B136="","",IF($B136+1&gt;'Qredits maandlasten'!$C$4,"",EOMONTH(C136,0)+1))</f>
        <v/>
      </c>
      <c r="D137" s="125"/>
      <c r="E137" s="127" t="str">
        <f>IF($B136="","",IF($B136+1&gt;'Qredits maandlasten'!$C$4,"",F136+1))</f>
        <v/>
      </c>
      <c r="F137" s="127" t="str">
        <f>IF($B136="","",IF($B136+1&gt;'Qredits maandlasten'!$C$4,"",EOMONTH(E137,0)))</f>
        <v/>
      </c>
      <c r="G137" s="128" t="str">
        <f>IF($B136="","",IF($B136+1&gt;'Qredits maandlasten'!$C$4,"",(_xlfn.DAYS(F137,E137)+1)/DAY(F137)))</f>
        <v/>
      </c>
      <c r="H137" s="129"/>
      <c r="I137" s="130" t="str">
        <f>IF($B136="","",IF($B136+1&gt;'Qredits maandlasten'!$C$4,"",I136-J136))</f>
        <v/>
      </c>
      <c r="J137" s="130" t="str">
        <f>IF($B136="","",IF($B136+1&gt;'Qredits maandlasten'!$C$4,"",IF(B136&lt;'Qredits maandlasten'!$C$11-1,0,IF('Qredits maandlasten'!$C$10=dropdowns!$A$93,'Qredits maandlasten'!$J$3,IF('Qredits maandlasten'!$C$10=dropdowns!$A$92,IFERROR('Qredits maandlasten'!$J$3-K137,0),0)))))</f>
        <v/>
      </c>
      <c r="K137" s="130" t="str">
        <f>IF($B136="","",IF($B136+1&gt;'Qredits maandlasten'!$C$4,"",G137*I137*'Qredits maandlasten'!$C$8))</f>
        <v/>
      </c>
      <c r="L137" s="130" t="str">
        <f t="shared" si="7"/>
        <v/>
      </c>
      <c r="M137" s="130" t="str">
        <f t="shared" si="5"/>
        <v/>
      </c>
      <c r="N137" s="129"/>
      <c r="O137" s="131" t="str">
        <f>IF($B137="","",'Qredits maandlasten'!$C$8)</f>
        <v/>
      </c>
      <c r="P137" s="131" t="str">
        <f>IF($B137="","",'Qredits maandlasten'!$C$8*(POWER(1+'Qredits maandlasten'!$C$8,$B137-1+1)))</f>
        <v/>
      </c>
      <c r="Q137" s="131" t="str">
        <f t="shared" si="8"/>
        <v/>
      </c>
      <c r="R137" s="129"/>
      <c r="S137" s="130" t="str">
        <f t="shared" si="6"/>
        <v/>
      </c>
      <c r="T137" s="130" t="str">
        <f>IF(S137="","",J137/(POWER(1+'Qredits maandlasten'!$C$8,$B137-1+1)))</f>
        <v/>
      </c>
      <c r="U137" s="132" t="str">
        <f t="shared" si="9"/>
        <v/>
      </c>
      <c r="V137" s="130" t="str">
        <f>IF($B137="","",K137/(POWER(1+'Qredits maandlasten'!$C$8,$B137-1+1)))</f>
        <v/>
      </c>
      <c r="W137" s="129"/>
    </row>
    <row r="138" spans="1:23" s="134" customFormat="1" x14ac:dyDescent="0.2">
      <c r="A138" s="125"/>
      <c r="B138" s="126" t="str">
        <f>IF($B137="","",IF($B137+1&gt;'Qredits maandlasten'!$C$4,"",Schema!B137+1))</f>
        <v/>
      </c>
      <c r="C138" s="127" t="str">
        <f>IF($B137="","",IF($B137+1&gt;'Qredits maandlasten'!$C$4,"",EOMONTH(C137,0)+1))</f>
        <v/>
      </c>
      <c r="D138" s="125"/>
      <c r="E138" s="127" t="str">
        <f>IF($B137="","",IF($B137+1&gt;'Qredits maandlasten'!$C$4,"",F137+1))</f>
        <v/>
      </c>
      <c r="F138" s="127" t="str">
        <f>IF($B137="","",IF($B137+1&gt;'Qredits maandlasten'!$C$4,"",EOMONTH(E138,0)))</f>
        <v/>
      </c>
      <c r="G138" s="128" t="str">
        <f>IF($B137="","",IF($B137+1&gt;'Qredits maandlasten'!$C$4,"",(_xlfn.DAYS(F138,E138)+1)/DAY(F138)))</f>
        <v/>
      </c>
      <c r="H138" s="129"/>
      <c r="I138" s="130" t="str">
        <f>IF($B137="","",IF($B137+1&gt;'Qredits maandlasten'!$C$4,"",I137-J137))</f>
        <v/>
      </c>
      <c r="J138" s="130" t="str">
        <f>IF($B137="","",IF($B137+1&gt;'Qredits maandlasten'!$C$4,"",IF(B137&lt;'Qredits maandlasten'!$C$11-1,0,IF('Qredits maandlasten'!$C$10=dropdowns!$A$93,'Qredits maandlasten'!$J$3,IF('Qredits maandlasten'!$C$10=dropdowns!$A$92,IFERROR('Qredits maandlasten'!$J$3-K138,0),0)))))</f>
        <v/>
      </c>
      <c r="K138" s="130" t="str">
        <f>IF($B137="","",IF($B137+1&gt;'Qredits maandlasten'!$C$4,"",G138*I138*'Qredits maandlasten'!$C$8))</f>
        <v/>
      </c>
      <c r="L138" s="130" t="str">
        <f t="shared" si="7"/>
        <v/>
      </c>
      <c r="M138" s="130" t="str">
        <f t="shared" ref="M138:M201" si="10">IF(S138="","",-K138-J138)</f>
        <v/>
      </c>
      <c r="N138" s="129"/>
      <c r="O138" s="131" t="str">
        <f>IF($B138="","",'Qredits maandlasten'!$C$8)</f>
        <v/>
      </c>
      <c r="P138" s="131" t="str">
        <f>IF($B138="","",'Qredits maandlasten'!$C$8*(POWER(1+'Qredits maandlasten'!$C$8,$B138-1+1)))</f>
        <v/>
      </c>
      <c r="Q138" s="131" t="str">
        <f t="shared" si="8"/>
        <v/>
      </c>
      <c r="R138" s="129"/>
      <c r="S138" s="130" t="str">
        <f t="shared" ref="S138:S201" si="11">IF(B138="","",IF(S137-T137&lt;0,"",S137-T137))</f>
        <v/>
      </c>
      <c r="T138" s="130" t="str">
        <f>IF(S138="","",J138/(POWER(1+'Qredits maandlasten'!$C$8,$B138-1+1)))</f>
        <v/>
      </c>
      <c r="U138" s="132" t="str">
        <f t="shared" si="9"/>
        <v/>
      </c>
      <c r="V138" s="130" t="str">
        <f>IF($B138="","",K138/(POWER(1+'Qredits maandlasten'!$C$8,$B138-1+1)))</f>
        <v/>
      </c>
      <c r="W138" s="129"/>
    </row>
    <row r="139" spans="1:23" s="134" customFormat="1" x14ac:dyDescent="0.2">
      <c r="A139" s="125"/>
      <c r="B139" s="126" t="str">
        <f>IF($B138="","",IF($B138+1&gt;'Qredits maandlasten'!$C$4,"",Schema!B138+1))</f>
        <v/>
      </c>
      <c r="C139" s="127" t="str">
        <f>IF($B138="","",IF($B138+1&gt;'Qredits maandlasten'!$C$4,"",EOMONTH(C138,0)+1))</f>
        <v/>
      </c>
      <c r="D139" s="125"/>
      <c r="E139" s="127" t="str">
        <f>IF($B138="","",IF($B138+1&gt;'Qredits maandlasten'!$C$4,"",F138+1))</f>
        <v/>
      </c>
      <c r="F139" s="127" t="str">
        <f>IF($B138="","",IF($B138+1&gt;'Qredits maandlasten'!$C$4,"",EOMONTH(E139,0)))</f>
        <v/>
      </c>
      <c r="G139" s="128" t="str">
        <f>IF($B138="","",IF($B138+1&gt;'Qredits maandlasten'!$C$4,"",(_xlfn.DAYS(F139,E139)+1)/DAY(F139)))</f>
        <v/>
      </c>
      <c r="H139" s="129"/>
      <c r="I139" s="130" t="str">
        <f>IF($B138="","",IF($B138+1&gt;'Qredits maandlasten'!$C$4,"",I138-J138))</f>
        <v/>
      </c>
      <c r="J139" s="130" t="str">
        <f>IF($B138="","",IF($B138+1&gt;'Qredits maandlasten'!$C$4,"",IF(B138&lt;'Qredits maandlasten'!$C$11-1,0,IF('Qredits maandlasten'!$C$10=dropdowns!$A$93,'Qredits maandlasten'!$J$3,IF('Qredits maandlasten'!$C$10=dropdowns!$A$92,IFERROR('Qredits maandlasten'!$J$3-K139,0),0)))))</f>
        <v/>
      </c>
      <c r="K139" s="130" t="str">
        <f>IF($B138="","",IF($B138+1&gt;'Qredits maandlasten'!$C$4,"",G139*I139*'Qredits maandlasten'!$C$8))</f>
        <v/>
      </c>
      <c r="L139" s="130" t="str">
        <f t="shared" ref="L139:L202" si="12">IF(S139="","",-K139-J139)</f>
        <v/>
      </c>
      <c r="M139" s="130" t="str">
        <f t="shared" si="10"/>
        <v/>
      </c>
      <c r="N139" s="129"/>
      <c r="O139" s="131" t="str">
        <f>IF($B139="","",'Qredits maandlasten'!$C$8)</f>
        <v/>
      </c>
      <c r="P139" s="131" t="str">
        <f>IF($B139="","",'Qredits maandlasten'!$C$8*(POWER(1+'Qredits maandlasten'!$C$8,$B139-1+1)))</f>
        <v/>
      </c>
      <c r="Q139" s="131" t="str">
        <f t="shared" ref="Q139:Q202" si="13">IF($B139="","",IFERROR(J139/T139-1,0))</f>
        <v/>
      </c>
      <c r="R139" s="129"/>
      <c r="S139" s="130" t="str">
        <f t="shared" si="11"/>
        <v/>
      </c>
      <c r="T139" s="130" t="str">
        <f>IF(S139="","",J139/(POWER(1+'Qredits maandlasten'!$C$8,$B139-1+1)))</f>
        <v/>
      </c>
      <c r="U139" s="132" t="str">
        <f t="shared" ref="U139:U202" si="14">IF(S139="","",T139+V139)</f>
        <v/>
      </c>
      <c r="V139" s="130" t="str">
        <f>IF($B139="","",K139/(POWER(1+'Qredits maandlasten'!$C$8,$B139-1+1)))</f>
        <v/>
      </c>
      <c r="W139" s="129"/>
    </row>
    <row r="140" spans="1:23" s="134" customFormat="1" x14ac:dyDescent="0.2">
      <c r="A140" s="125"/>
      <c r="B140" s="126" t="str">
        <f>IF($B139="","",IF($B139+1&gt;'Qredits maandlasten'!$C$4,"",Schema!B139+1))</f>
        <v/>
      </c>
      <c r="C140" s="127" t="str">
        <f>IF($B139="","",IF($B139+1&gt;'Qredits maandlasten'!$C$4,"",EOMONTH(C139,0)+1))</f>
        <v/>
      </c>
      <c r="D140" s="125"/>
      <c r="E140" s="127" t="str">
        <f>IF($B139="","",IF($B139+1&gt;'Qredits maandlasten'!$C$4,"",F139+1))</f>
        <v/>
      </c>
      <c r="F140" s="127" t="str">
        <f>IF($B139="","",IF($B139+1&gt;'Qredits maandlasten'!$C$4,"",EOMONTH(E140,0)))</f>
        <v/>
      </c>
      <c r="G140" s="128" t="str">
        <f>IF($B139="","",IF($B139+1&gt;'Qredits maandlasten'!$C$4,"",(_xlfn.DAYS(F140,E140)+1)/DAY(F140)))</f>
        <v/>
      </c>
      <c r="H140" s="129"/>
      <c r="I140" s="130" t="str">
        <f>IF($B139="","",IF($B139+1&gt;'Qredits maandlasten'!$C$4,"",I139-J139))</f>
        <v/>
      </c>
      <c r="J140" s="130" t="str">
        <f>IF($B139="","",IF($B139+1&gt;'Qredits maandlasten'!$C$4,"",IF(B139&lt;'Qredits maandlasten'!$C$11-1,0,IF('Qredits maandlasten'!$C$10=dropdowns!$A$93,'Qredits maandlasten'!$J$3,IF('Qredits maandlasten'!$C$10=dropdowns!$A$92,IFERROR('Qredits maandlasten'!$J$3-K140,0),0)))))</f>
        <v/>
      </c>
      <c r="K140" s="130" t="str">
        <f>IF($B139="","",IF($B139+1&gt;'Qredits maandlasten'!$C$4,"",G140*I140*'Qredits maandlasten'!$C$8))</f>
        <v/>
      </c>
      <c r="L140" s="130" t="str">
        <f t="shared" si="12"/>
        <v/>
      </c>
      <c r="M140" s="130" t="str">
        <f t="shared" si="10"/>
        <v/>
      </c>
      <c r="N140" s="129"/>
      <c r="O140" s="131" t="str">
        <f>IF($B140="","",'Qredits maandlasten'!$C$8)</f>
        <v/>
      </c>
      <c r="P140" s="131" t="str">
        <f>IF($B140="","",'Qredits maandlasten'!$C$8*(POWER(1+'Qredits maandlasten'!$C$8,$B140-1+1)))</f>
        <v/>
      </c>
      <c r="Q140" s="131" t="str">
        <f t="shared" si="13"/>
        <v/>
      </c>
      <c r="R140" s="129"/>
      <c r="S140" s="130" t="str">
        <f t="shared" si="11"/>
        <v/>
      </c>
      <c r="T140" s="130" t="str">
        <f>IF(S140="","",J140/(POWER(1+'Qredits maandlasten'!$C$8,$B140-1+1)))</f>
        <v/>
      </c>
      <c r="U140" s="132" t="str">
        <f t="shared" si="14"/>
        <v/>
      </c>
      <c r="V140" s="130" t="str">
        <f>IF($B140="","",K140/(POWER(1+'Qredits maandlasten'!$C$8,$B140-1+1)))</f>
        <v/>
      </c>
      <c r="W140" s="129"/>
    </row>
    <row r="141" spans="1:23" s="134" customFormat="1" x14ac:dyDescent="0.2">
      <c r="A141" s="125"/>
      <c r="B141" s="126" t="str">
        <f>IF($B140="","",IF($B140+1&gt;'Qredits maandlasten'!$C$4,"",Schema!B140+1))</f>
        <v/>
      </c>
      <c r="C141" s="127" t="str">
        <f>IF($B140="","",IF($B140+1&gt;'Qredits maandlasten'!$C$4,"",EOMONTH(C140,0)+1))</f>
        <v/>
      </c>
      <c r="D141" s="125"/>
      <c r="E141" s="127" t="str">
        <f>IF($B140="","",IF($B140+1&gt;'Qredits maandlasten'!$C$4,"",F140+1))</f>
        <v/>
      </c>
      <c r="F141" s="127" t="str">
        <f>IF($B140="","",IF($B140+1&gt;'Qredits maandlasten'!$C$4,"",EOMONTH(E141,0)))</f>
        <v/>
      </c>
      <c r="G141" s="128" t="str">
        <f>IF($B140="","",IF($B140+1&gt;'Qredits maandlasten'!$C$4,"",(_xlfn.DAYS(F141,E141)+1)/DAY(F141)))</f>
        <v/>
      </c>
      <c r="H141" s="129"/>
      <c r="I141" s="130" t="str">
        <f>IF($B140="","",IF($B140+1&gt;'Qredits maandlasten'!$C$4,"",I140-J140))</f>
        <v/>
      </c>
      <c r="J141" s="130" t="str">
        <f>IF($B140="","",IF($B140+1&gt;'Qredits maandlasten'!$C$4,"",IF(B140&lt;'Qredits maandlasten'!$C$11-1,0,IF('Qredits maandlasten'!$C$10=dropdowns!$A$93,'Qredits maandlasten'!$J$3,IF('Qredits maandlasten'!$C$10=dropdowns!$A$92,IFERROR('Qredits maandlasten'!$J$3-K141,0),0)))))</f>
        <v/>
      </c>
      <c r="K141" s="130" t="str">
        <f>IF($B140="","",IF($B140+1&gt;'Qredits maandlasten'!$C$4,"",G141*I141*'Qredits maandlasten'!$C$8))</f>
        <v/>
      </c>
      <c r="L141" s="130" t="str">
        <f t="shared" si="12"/>
        <v/>
      </c>
      <c r="M141" s="130" t="str">
        <f t="shared" si="10"/>
        <v/>
      </c>
      <c r="N141" s="129"/>
      <c r="O141" s="131" t="str">
        <f>IF($B141="","",'Qredits maandlasten'!$C$8)</f>
        <v/>
      </c>
      <c r="P141" s="131" t="str">
        <f>IF($B141="","",'Qredits maandlasten'!$C$8*(POWER(1+'Qredits maandlasten'!$C$8,$B141-1+1)))</f>
        <v/>
      </c>
      <c r="Q141" s="131" t="str">
        <f t="shared" si="13"/>
        <v/>
      </c>
      <c r="R141" s="129"/>
      <c r="S141" s="130" t="str">
        <f t="shared" si="11"/>
        <v/>
      </c>
      <c r="T141" s="130" t="str">
        <f>IF(S141="","",J141/(POWER(1+'Qredits maandlasten'!$C$8,$B141-1+1)))</f>
        <v/>
      </c>
      <c r="U141" s="132" t="str">
        <f t="shared" si="14"/>
        <v/>
      </c>
      <c r="V141" s="130" t="str">
        <f>IF($B141="","",K141/(POWER(1+'Qredits maandlasten'!$C$8,$B141-1+1)))</f>
        <v/>
      </c>
      <c r="W141" s="129"/>
    </row>
    <row r="142" spans="1:23" s="134" customFormat="1" x14ac:dyDescent="0.2">
      <c r="A142" s="125"/>
      <c r="B142" s="126" t="str">
        <f>IF($B141="","",IF($B141+1&gt;'Qredits maandlasten'!$C$4,"",Schema!B141+1))</f>
        <v/>
      </c>
      <c r="C142" s="127" t="str">
        <f>IF($B141="","",IF($B141+1&gt;'Qredits maandlasten'!$C$4,"",EOMONTH(C141,0)+1))</f>
        <v/>
      </c>
      <c r="D142" s="125"/>
      <c r="E142" s="127" t="str">
        <f>IF($B141="","",IF($B141+1&gt;'Qredits maandlasten'!$C$4,"",F141+1))</f>
        <v/>
      </c>
      <c r="F142" s="127" t="str">
        <f>IF($B141="","",IF($B141+1&gt;'Qredits maandlasten'!$C$4,"",EOMONTH(E142,0)))</f>
        <v/>
      </c>
      <c r="G142" s="128" t="str">
        <f>IF($B141="","",IF($B141+1&gt;'Qredits maandlasten'!$C$4,"",(_xlfn.DAYS(F142,E142)+1)/DAY(F142)))</f>
        <v/>
      </c>
      <c r="H142" s="129"/>
      <c r="I142" s="130" t="str">
        <f>IF($B141="","",IF($B141+1&gt;'Qredits maandlasten'!$C$4,"",I141-J141))</f>
        <v/>
      </c>
      <c r="J142" s="130" t="str">
        <f>IF($B141="","",IF($B141+1&gt;'Qredits maandlasten'!$C$4,"",IF(B141&lt;'Qredits maandlasten'!$C$11-1,0,IF('Qredits maandlasten'!$C$10=dropdowns!$A$93,'Qredits maandlasten'!$J$3,IF('Qredits maandlasten'!$C$10=dropdowns!$A$92,IFERROR('Qredits maandlasten'!$J$3-K142,0),0)))))</f>
        <v/>
      </c>
      <c r="K142" s="130" t="str">
        <f>IF($B141="","",IF($B141+1&gt;'Qredits maandlasten'!$C$4,"",G142*I142*'Qredits maandlasten'!$C$8))</f>
        <v/>
      </c>
      <c r="L142" s="130" t="str">
        <f t="shared" si="12"/>
        <v/>
      </c>
      <c r="M142" s="130" t="str">
        <f t="shared" si="10"/>
        <v/>
      </c>
      <c r="N142" s="129"/>
      <c r="O142" s="131" t="str">
        <f>IF($B142="","",'Qredits maandlasten'!$C$8)</f>
        <v/>
      </c>
      <c r="P142" s="131" t="str">
        <f>IF($B142="","",'Qredits maandlasten'!$C$8*(POWER(1+'Qredits maandlasten'!$C$8,$B142-1+1)))</f>
        <v/>
      </c>
      <c r="Q142" s="131" t="str">
        <f t="shared" si="13"/>
        <v/>
      </c>
      <c r="R142" s="129"/>
      <c r="S142" s="130" t="str">
        <f t="shared" si="11"/>
        <v/>
      </c>
      <c r="T142" s="130" t="str">
        <f>IF(S142="","",J142/(POWER(1+'Qredits maandlasten'!$C$8,$B142-1+1)))</f>
        <v/>
      </c>
      <c r="U142" s="132" t="str">
        <f t="shared" si="14"/>
        <v/>
      </c>
      <c r="V142" s="130" t="str">
        <f>IF($B142="","",K142/(POWER(1+'Qredits maandlasten'!$C$8,$B142-1+1)))</f>
        <v/>
      </c>
      <c r="W142" s="129"/>
    </row>
    <row r="143" spans="1:23" s="134" customFormat="1" x14ac:dyDescent="0.2">
      <c r="A143" s="125"/>
      <c r="B143" s="126" t="str">
        <f>IF($B142="","",IF($B142+1&gt;'Qredits maandlasten'!$C$4,"",Schema!B142+1))</f>
        <v/>
      </c>
      <c r="C143" s="127" t="str">
        <f>IF($B142="","",IF($B142+1&gt;'Qredits maandlasten'!$C$4,"",EOMONTH(C142,0)+1))</f>
        <v/>
      </c>
      <c r="D143" s="125"/>
      <c r="E143" s="127" t="str">
        <f>IF($B142="","",IF($B142+1&gt;'Qredits maandlasten'!$C$4,"",F142+1))</f>
        <v/>
      </c>
      <c r="F143" s="127" t="str">
        <f>IF($B142="","",IF($B142+1&gt;'Qredits maandlasten'!$C$4,"",EOMONTH(E143,0)))</f>
        <v/>
      </c>
      <c r="G143" s="128" t="str">
        <f>IF($B142="","",IF($B142+1&gt;'Qredits maandlasten'!$C$4,"",(_xlfn.DAYS(F143,E143)+1)/DAY(F143)))</f>
        <v/>
      </c>
      <c r="H143" s="129"/>
      <c r="I143" s="130" t="str">
        <f>IF($B142="","",IF($B142+1&gt;'Qredits maandlasten'!$C$4,"",I142-J142))</f>
        <v/>
      </c>
      <c r="J143" s="130" t="str">
        <f>IF($B142="","",IF($B142+1&gt;'Qredits maandlasten'!$C$4,"",IF(B142&lt;'Qredits maandlasten'!$C$11-1,0,IF('Qredits maandlasten'!$C$10=dropdowns!$A$93,'Qredits maandlasten'!$J$3,IF('Qredits maandlasten'!$C$10=dropdowns!$A$92,IFERROR('Qredits maandlasten'!$J$3-K143,0),0)))))</f>
        <v/>
      </c>
      <c r="K143" s="130" t="str">
        <f>IF($B142="","",IF($B142+1&gt;'Qredits maandlasten'!$C$4,"",G143*I143*'Qredits maandlasten'!$C$8))</f>
        <v/>
      </c>
      <c r="L143" s="130" t="str">
        <f t="shared" si="12"/>
        <v/>
      </c>
      <c r="M143" s="130" t="str">
        <f t="shared" si="10"/>
        <v/>
      </c>
      <c r="N143" s="129"/>
      <c r="O143" s="131" t="str">
        <f>IF($B143="","",'Qredits maandlasten'!$C$8)</f>
        <v/>
      </c>
      <c r="P143" s="131" t="str">
        <f>IF($B143="","",'Qredits maandlasten'!$C$8*(POWER(1+'Qredits maandlasten'!$C$8,$B143-1+1)))</f>
        <v/>
      </c>
      <c r="Q143" s="131" t="str">
        <f t="shared" si="13"/>
        <v/>
      </c>
      <c r="R143" s="129"/>
      <c r="S143" s="130" t="str">
        <f t="shared" si="11"/>
        <v/>
      </c>
      <c r="T143" s="130" t="str">
        <f>IF(S143="","",J143/(POWER(1+'Qredits maandlasten'!$C$8,$B143-1+1)))</f>
        <v/>
      </c>
      <c r="U143" s="132" t="str">
        <f t="shared" si="14"/>
        <v/>
      </c>
      <c r="V143" s="130" t="str">
        <f>IF($B143="","",K143/(POWER(1+'Qredits maandlasten'!$C$8,$B143-1+1)))</f>
        <v/>
      </c>
      <c r="W143" s="129"/>
    </row>
    <row r="144" spans="1:23" s="134" customFormat="1" x14ac:dyDescent="0.2">
      <c r="A144" s="125"/>
      <c r="B144" s="126" t="str">
        <f>IF($B143="","",IF($B143+1&gt;'Qredits maandlasten'!$C$4,"",Schema!B143+1))</f>
        <v/>
      </c>
      <c r="C144" s="127" t="str">
        <f>IF($B143="","",IF($B143+1&gt;'Qredits maandlasten'!$C$4,"",EOMONTH(C143,0)+1))</f>
        <v/>
      </c>
      <c r="D144" s="125"/>
      <c r="E144" s="127" t="str">
        <f>IF($B143="","",IF($B143+1&gt;'Qredits maandlasten'!$C$4,"",F143+1))</f>
        <v/>
      </c>
      <c r="F144" s="127" t="str">
        <f>IF($B143="","",IF($B143+1&gt;'Qredits maandlasten'!$C$4,"",EOMONTH(E144,0)))</f>
        <v/>
      </c>
      <c r="G144" s="128" t="str">
        <f>IF($B143="","",IF($B143+1&gt;'Qredits maandlasten'!$C$4,"",(_xlfn.DAYS(F144,E144)+1)/DAY(F144)))</f>
        <v/>
      </c>
      <c r="H144" s="129"/>
      <c r="I144" s="130" t="str">
        <f>IF($B143="","",IF($B143+1&gt;'Qredits maandlasten'!$C$4,"",I143-J143))</f>
        <v/>
      </c>
      <c r="J144" s="130" t="str">
        <f>IF($B143="","",IF($B143+1&gt;'Qredits maandlasten'!$C$4,"",IF(B143&lt;'Qredits maandlasten'!$C$11-1,0,IF('Qredits maandlasten'!$C$10=dropdowns!$A$93,'Qredits maandlasten'!$J$3,IF('Qredits maandlasten'!$C$10=dropdowns!$A$92,IFERROR('Qredits maandlasten'!$J$3-K144,0),0)))))</f>
        <v/>
      </c>
      <c r="K144" s="130" t="str">
        <f>IF($B143="","",IF($B143+1&gt;'Qredits maandlasten'!$C$4,"",G144*I144*'Qredits maandlasten'!$C$8))</f>
        <v/>
      </c>
      <c r="L144" s="130" t="str">
        <f t="shared" si="12"/>
        <v/>
      </c>
      <c r="M144" s="130" t="str">
        <f t="shared" si="10"/>
        <v/>
      </c>
      <c r="N144" s="129"/>
      <c r="O144" s="131" t="str">
        <f>IF($B144="","",'Qredits maandlasten'!$C$8)</f>
        <v/>
      </c>
      <c r="P144" s="131" t="str">
        <f>IF($B144="","",'Qredits maandlasten'!$C$8*(POWER(1+'Qredits maandlasten'!$C$8,$B144-1+1)))</f>
        <v/>
      </c>
      <c r="Q144" s="131" t="str">
        <f t="shared" si="13"/>
        <v/>
      </c>
      <c r="R144" s="129"/>
      <c r="S144" s="130" t="str">
        <f t="shared" si="11"/>
        <v/>
      </c>
      <c r="T144" s="130" t="str">
        <f>IF(S144="","",J144/(POWER(1+'Qredits maandlasten'!$C$8,$B144-1+1)))</f>
        <v/>
      </c>
      <c r="U144" s="132" t="str">
        <f t="shared" si="14"/>
        <v/>
      </c>
      <c r="V144" s="130" t="str">
        <f>IF($B144="","",K144/(POWER(1+'Qredits maandlasten'!$C$8,$B144-1+1)))</f>
        <v/>
      </c>
      <c r="W144" s="129"/>
    </row>
    <row r="145" spans="1:23" s="134" customFormat="1" x14ac:dyDescent="0.2">
      <c r="A145" s="125"/>
      <c r="B145" s="126" t="str">
        <f>IF($B144="","",IF($B144+1&gt;'Qredits maandlasten'!$C$4,"",Schema!B144+1))</f>
        <v/>
      </c>
      <c r="C145" s="127" t="str">
        <f>IF($B144="","",IF($B144+1&gt;'Qredits maandlasten'!$C$4,"",EOMONTH(C144,0)+1))</f>
        <v/>
      </c>
      <c r="D145" s="125"/>
      <c r="E145" s="127" t="str">
        <f>IF($B144="","",IF($B144+1&gt;'Qredits maandlasten'!$C$4,"",F144+1))</f>
        <v/>
      </c>
      <c r="F145" s="127" t="str">
        <f>IF($B144="","",IF($B144+1&gt;'Qredits maandlasten'!$C$4,"",EOMONTH(E145,0)))</f>
        <v/>
      </c>
      <c r="G145" s="128" t="str">
        <f>IF($B144="","",IF($B144+1&gt;'Qredits maandlasten'!$C$4,"",(_xlfn.DAYS(F145,E145)+1)/DAY(F145)))</f>
        <v/>
      </c>
      <c r="H145" s="129"/>
      <c r="I145" s="130" t="str">
        <f>IF($B144="","",IF($B144+1&gt;'Qredits maandlasten'!$C$4,"",I144-J144))</f>
        <v/>
      </c>
      <c r="J145" s="130" t="str">
        <f>IF($B144="","",IF($B144+1&gt;'Qredits maandlasten'!$C$4,"",IF(B144&lt;'Qredits maandlasten'!$C$11-1,0,IF('Qredits maandlasten'!$C$10=dropdowns!$A$93,'Qredits maandlasten'!$J$3,IF('Qredits maandlasten'!$C$10=dropdowns!$A$92,IFERROR('Qredits maandlasten'!$J$3-K145,0),0)))))</f>
        <v/>
      </c>
      <c r="K145" s="130" t="str">
        <f>IF($B144="","",IF($B144+1&gt;'Qredits maandlasten'!$C$4,"",G145*I145*'Qredits maandlasten'!$C$8))</f>
        <v/>
      </c>
      <c r="L145" s="130" t="str">
        <f t="shared" si="12"/>
        <v/>
      </c>
      <c r="M145" s="130" t="str">
        <f t="shared" si="10"/>
        <v/>
      </c>
      <c r="N145" s="129"/>
      <c r="O145" s="131" t="str">
        <f>IF($B145="","",'Qredits maandlasten'!$C$8)</f>
        <v/>
      </c>
      <c r="P145" s="131" t="str">
        <f>IF($B145="","",'Qredits maandlasten'!$C$8*(POWER(1+'Qredits maandlasten'!$C$8,$B145-1+1)))</f>
        <v/>
      </c>
      <c r="Q145" s="131" t="str">
        <f t="shared" si="13"/>
        <v/>
      </c>
      <c r="R145" s="129"/>
      <c r="S145" s="130" t="str">
        <f t="shared" si="11"/>
        <v/>
      </c>
      <c r="T145" s="130" t="str">
        <f>IF(S145="","",J145/(POWER(1+'Qredits maandlasten'!$C$8,$B145-1+1)))</f>
        <v/>
      </c>
      <c r="U145" s="132" t="str">
        <f t="shared" si="14"/>
        <v/>
      </c>
      <c r="V145" s="130" t="str">
        <f>IF($B145="","",K145/(POWER(1+'Qredits maandlasten'!$C$8,$B145-1+1)))</f>
        <v/>
      </c>
      <c r="W145" s="129"/>
    </row>
    <row r="146" spans="1:23" s="134" customFormat="1" x14ac:dyDescent="0.2">
      <c r="A146" s="125"/>
      <c r="B146" s="126" t="str">
        <f>IF($B145="","",IF($B145+1&gt;'Qredits maandlasten'!$C$4,"",Schema!B145+1))</f>
        <v/>
      </c>
      <c r="C146" s="127" t="str">
        <f>IF($B145="","",IF($B145+1&gt;'Qredits maandlasten'!$C$4,"",EOMONTH(C145,0)+1))</f>
        <v/>
      </c>
      <c r="D146" s="125"/>
      <c r="E146" s="127" t="str">
        <f>IF($B145="","",IF($B145+1&gt;'Qredits maandlasten'!$C$4,"",F145+1))</f>
        <v/>
      </c>
      <c r="F146" s="127" t="str">
        <f>IF($B145="","",IF($B145+1&gt;'Qredits maandlasten'!$C$4,"",EOMONTH(E146,0)))</f>
        <v/>
      </c>
      <c r="G146" s="128" t="str">
        <f>IF($B145="","",IF($B145+1&gt;'Qredits maandlasten'!$C$4,"",(_xlfn.DAYS(F146,E146)+1)/DAY(F146)))</f>
        <v/>
      </c>
      <c r="H146" s="129"/>
      <c r="I146" s="130" t="str">
        <f>IF($B145="","",IF($B145+1&gt;'Qredits maandlasten'!$C$4,"",I145-J145))</f>
        <v/>
      </c>
      <c r="J146" s="130" t="str">
        <f>IF($B145="","",IF($B145+1&gt;'Qredits maandlasten'!$C$4,"",IF(B145&lt;'Qredits maandlasten'!$C$11-1,0,IF('Qredits maandlasten'!$C$10=dropdowns!$A$93,'Qredits maandlasten'!$J$3,IF('Qredits maandlasten'!$C$10=dropdowns!$A$92,IFERROR('Qredits maandlasten'!$J$3-K146,0),0)))))</f>
        <v/>
      </c>
      <c r="K146" s="130" t="str">
        <f>IF($B145="","",IF($B145+1&gt;'Qredits maandlasten'!$C$4,"",G146*I146*'Qredits maandlasten'!$C$8))</f>
        <v/>
      </c>
      <c r="L146" s="130" t="str">
        <f t="shared" si="12"/>
        <v/>
      </c>
      <c r="M146" s="130" t="str">
        <f t="shared" si="10"/>
        <v/>
      </c>
      <c r="N146" s="129"/>
      <c r="O146" s="131" t="str">
        <f>IF($B146="","",'Qredits maandlasten'!$C$8)</f>
        <v/>
      </c>
      <c r="P146" s="131" t="str">
        <f>IF($B146="","",'Qredits maandlasten'!$C$8*(POWER(1+'Qredits maandlasten'!$C$8,$B146-1+1)))</f>
        <v/>
      </c>
      <c r="Q146" s="131" t="str">
        <f t="shared" si="13"/>
        <v/>
      </c>
      <c r="R146" s="129"/>
      <c r="S146" s="130" t="str">
        <f t="shared" si="11"/>
        <v/>
      </c>
      <c r="T146" s="130" t="str">
        <f>IF(S146="","",J146/(POWER(1+'Qredits maandlasten'!$C$8,$B146-1+1)))</f>
        <v/>
      </c>
      <c r="U146" s="132" t="str">
        <f t="shared" si="14"/>
        <v/>
      </c>
      <c r="V146" s="130" t="str">
        <f>IF($B146="","",K146/(POWER(1+'Qredits maandlasten'!$C$8,$B146-1+1)))</f>
        <v/>
      </c>
      <c r="W146" s="129"/>
    </row>
    <row r="147" spans="1:23" s="134" customFormat="1" x14ac:dyDescent="0.2">
      <c r="A147" s="125"/>
      <c r="B147" s="126" t="str">
        <f>IF($B146="","",IF($B146+1&gt;'Qredits maandlasten'!$C$4,"",Schema!B146+1))</f>
        <v/>
      </c>
      <c r="C147" s="127" t="str">
        <f>IF($B146="","",IF($B146+1&gt;'Qredits maandlasten'!$C$4,"",EOMONTH(C146,0)+1))</f>
        <v/>
      </c>
      <c r="D147" s="125"/>
      <c r="E147" s="127" t="str">
        <f>IF($B146="","",IF($B146+1&gt;'Qredits maandlasten'!$C$4,"",F146+1))</f>
        <v/>
      </c>
      <c r="F147" s="127" t="str">
        <f>IF($B146="","",IF($B146+1&gt;'Qredits maandlasten'!$C$4,"",EOMONTH(E147,0)))</f>
        <v/>
      </c>
      <c r="G147" s="128" t="str">
        <f>IF($B146="","",IF($B146+1&gt;'Qredits maandlasten'!$C$4,"",(_xlfn.DAYS(F147,E147)+1)/DAY(F147)))</f>
        <v/>
      </c>
      <c r="H147" s="129"/>
      <c r="I147" s="130" t="str">
        <f>IF($B146="","",IF($B146+1&gt;'Qredits maandlasten'!$C$4,"",I146-J146))</f>
        <v/>
      </c>
      <c r="J147" s="130" t="str">
        <f>IF($B146="","",IF($B146+1&gt;'Qredits maandlasten'!$C$4,"",IF(B146&lt;'Qredits maandlasten'!$C$11-1,0,IF('Qredits maandlasten'!$C$10=dropdowns!$A$93,'Qredits maandlasten'!$J$3,IF('Qredits maandlasten'!$C$10=dropdowns!$A$92,IFERROR('Qredits maandlasten'!$J$3-K147,0),0)))))</f>
        <v/>
      </c>
      <c r="K147" s="130" t="str">
        <f>IF($B146="","",IF($B146+1&gt;'Qredits maandlasten'!$C$4,"",G147*I147*'Qredits maandlasten'!$C$8))</f>
        <v/>
      </c>
      <c r="L147" s="130" t="str">
        <f t="shared" si="12"/>
        <v/>
      </c>
      <c r="M147" s="130" t="str">
        <f t="shared" si="10"/>
        <v/>
      </c>
      <c r="N147" s="129"/>
      <c r="O147" s="131" t="str">
        <f>IF($B147="","",'Qredits maandlasten'!$C$8)</f>
        <v/>
      </c>
      <c r="P147" s="131" t="str">
        <f>IF($B147="","",'Qredits maandlasten'!$C$8*(POWER(1+'Qredits maandlasten'!$C$8,$B147-1+1)))</f>
        <v/>
      </c>
      <c r="Q147" s="131" t="str">
        <f t="shared" si="13"/>
        <v/>
      </c>
      <c r="R147" s="129"/>
      <c r="S147" s="130" t="str">
        <f t="shared" si="11"/>
        <v/>
      </c>
      <c r="T147" s="130" t="str">
        <f>IF(S147="","",J147/(POWER(1+'Qredits maandlasten'!$C$8,$B147-1+1)))</f>
        <v/>
      </c>
      <c r="U147" s="132" t="str">
        <f t="shared" si="14"/>
        <v/>
      </c>
      <c r="V147" s="130" t="str">
        <f>IF($B147="","",K147/(POWER(1+'Qredits maandlasten'!$C$8,$B147-1+1)))</f>
        <v/>
      </c>
      <c r="W147" s="129"/>
    </row>
    <row r="148" spans="1:23" s="134" customFormat="1" x14ac:dyDescent="0.2">
      <c r="A148" s="125"/>
      <c r="B148" s="126" t="str">
        <f>IF($B147="","",IF($B147+1&gt;'Qredits maandlasten'!$C$4,"",Schema!B147+1))</f>
        <v/>
      </c>
      <c r="C148" s="127" t="str">
        <f>IF($B147="","",IF($B147+1&gt;'Qredits maandlasten'!$C$4,"",EOMONTH(C147,0)+1))</f>
        <v/>
      </c>
      <c r="D148" s="125"/>
      <c r="E148" s="127" t="str">
        <f>IF($B147="","",IF($B147+1&gt;'Qredits maandlasten'!$C$4,"",F147+1))</f>
        <v/>
      </c>
      <c r="F148" s="127" t="str">
        <f>IF($B147="","",IF($B147+1&gt;'Qredits maandlasten'!$C$4,"",EOMONTH(E148,0)))</f>
        <v/>
      </c>
      <c r="G148" s="128" t="str">
        <f>IF($B147="","",IF($B147+1&gt;'Qredits maandlasten'!$C$4,"",(_xlfn.DAYS(F148,E148)+1)/DAY(F148)))</f>
        <v/>
      </c>
      <c r="H148" s="129"/>
      <c r="I148" s="130" t="str">
        <f>IF($B147="","",IF($B147+1&gt;'Qredits maandlasten'!$C$4,"",I147-J147))</f>
        <v/>
      </c>
      <c r="J148" s="130" t="str">
        <f>IF($B147="","",IF($B147+1&gt;'Qredits maandlasten'!$C$4,"",IF(B147&lt;'Qredits maandlasten'!$C$11-1,0,IF('Qredits maandlasten'!$C$10=dropdowns!$A$93,'Qredits maandlasten'!$J$3,IF('Qredits maandlasten'!$C$10=dropdowns!$A$92,IFERROR('Qredits maandlasten'!$J$3-K148,0),0)))))</f>
        <v/>
      </c>
      <c r="K148" s="130" t="str">
        <f>IF($B147="","",IF($B147+1&gt;'Qredits maandlasten'!$C$4,"",G148*I148*'Qredits maandlasten'!$C$8))</f>
        <v/>
      </c>
      <c r="L148" s="130" t="str">
        <f t="shared" si="12"/>
        <v/>
      </c>
      <c r="M148" s="130" t="str">
        <f t="shared" si="10"/>
        <v/>
      </c>
      <c r="N148" s="129"/>
      <c r="O148" s="131" t="str">
        <f>IF($B148="","",'Qredits maandlasten'!$C$8)</f>
        <v/>
      </c>
      <c r="P148" s="131" t="str">
        <f>IF($B148="","",'Qredits maandlasten'!$C$8*(POWER(1+'Qredits maandlasten'!$C$8,$B148-1+1)))</f>
        <v/>
      </c>
      <c r="Q148" s="131" t="str">
        <f t="shared" si="13"/>
        <v/>
      </c>
      <c r="R148" s="129"/>
      <c r="S148" s="130" t="str">
        <f t="shared" si="11"/>
        <v/>
      </c>
      <c r="T148" s="130" t="str">
        <f>IF(S148="","",J148/(POWER(1+'Qredits maandlasten'!$C$8,$B148-1+1)))</f>
        <v/>
      </c>
      <c r="U148" s="132" t="str">
        <f t="shared" si="14"/>
        <v/>
      </c>
      <c r="V148" s="130" t="str">
        <f>IF($B148="","",K148/(POWER(1+'Qredits maandlasten'!$C$8,$B148-1+1)))</f>
        <v/>
      </c>
      <c r="W148" s="129"/>
    </row>
    <row r="149" spans="1:23" s="134" customFormat="1" x14ac:dyDescent="0.2">
      <c r="A149" s="125"/>
      <c r="B149" s="126" t="str">
        <f>IF($B148="","",IF($B148+1&gt;'Qredits maandlasten'!$C$4,"",Schema!B148+1))</f>
        <v/>
      </c>
      <c r="C149" s="127" t="str">
        <f>IF($B148="","",IF($B148+1&gt;'Qredits maandlasten'!$C$4,"",EOMONTH(C148,0)+1))</f>
        <v/>
      </c>
      <c r="D149" s="125"/>
      <c r="E149" s="127" t="str">
        <f>IF($B148="","",IF($B148+1&gt;'Qredits maandlasten'!$C$4,"",F148+1))</f>
        <v/>
      </c>
      <c r="F149" s="127" t="str">
        <f>IF($B148="","",IF($B148+1&gt;'Qredits maandlasten'!$C$4,"",EOMONTH(E149,0)))</f>
        <v/>
      </c>
      <c r="G149" s="128" t="str">
        <f>IF($B148="","",IF($B148+1&gt;'Qredits maandlasten'!$C$4,"",(_xlfn.DAYS(F149,E149)+1)/DAY(F149)))</f>
        <v/>
      </c>
      <c r="H149" s="129"/>
      <c r="I149" s="130" t="str">
        <f>IF($B148="","",IF($B148+1&gt;'Qredits maandlasten'!$C$4,"",I148-J148))</f>
        <v/>
      </c>
      <c r="J149" s="130" t="str">
        <f>IF($B148="","",IF($B148+1&gt;'Qredits maandlasten'!$C$4,"",IF(B148&lt;'Qredits maandlasten'!$C$11-1,0,IF('Qredits maandlasten'!$C$10=dropdowns!$A$93,'Qredits maandlasten'!$J$3,IF('Qredits maandlasten'!$C$10=dropdowns!$A$92,IFERROR('Qredits maandlasten'!$J$3-K149,0),0)))))</f>
        <v/>
      </c>
      <c r="K149" s="130" t="str">
        <f>IF($B148="","",IF($B148+1&gt;'Qredits maandlasten'!$C$4,"",G149*I149*'Qredits maandlasten'!$C$8))</f>
        <v/>
      </c>
      <c r="L149" s="130" t="str">
        <f t="shared" si="12"/>
        <v/>
      </c>
      <c r="M149" s="130" t="str">
        <f t="shared" si="10"/>
        <v/>
      </c>
      <c r="N149" s="129"/>
      <c r="O149" s="131" t="str">
        <f>IF($B149="","",'Qredits maandlasten'!$C$8)</f>
        <v/>
      </c>
      <c r="P149" s="131" t="str">
        <f>IF($B149="","",'Qredits maandlasten'!$C$8*(POWER(1+'Qredits maandlasten'!$C$8,$B149-1+1)))</f>
        <v/>
      </c>
      <c r="Q149" s="131" t="str">
        <f t="shared" si="13"/>
        <v/>
      </c>
      <c r="R149" s="129"/>
      <c r="S149" s="130" t="str">
        <f t="shared" si="11"/>
        <v/>
      </c>
      <c r="T149" s="130" t="str">
        <f>IF(S149="","",J149/(POWER(1+'Qredits maandlasten'!$C$8,$B149-1+1)))</f>
        <v/>
      </c>
      <c r="U149" s="132" t="str">
        <f t="shared" si="14"/>
        <v/>
      </c>
      <c r="V149" s="130" t="str">
        <f>IF($B149="","",K149/(POWER(1+'Qredits maandlasten'!$C$8,$B149-1+1)))</f>
        <v/>
      </c>
      <c r="W149" s="129"/>
    </row>
    <row r="150" spans="1:23" s="134" customFormat="1" x14ac:dyDescent="0.2">
      <c r="A150" s="125"/>
      <c r="B150" s="126" t="str">
        <f>IF($B149="","",IF($B149+1&gt;'Qredits maandlasten'!$C$4,"",Schema!B149+1))</f>
        <v/>
      </c>
      <c r="C150" s="127" t="str">
        <f>IF($B149="","",IF($B149+1&gt;'Qredits maandlasten'!$C$4,"",EOMONTH(C149,0)+1))</f>
        <v/>
      </c>
      <c r="D150" s="125"/>
      <c r="E150" s="127" t="str">
        <f>IF($B149="","",IF($B149+1&gt;'Qredits maandlasten'!$C$4,"",F149+1))</f>
        <v/>
      </c>
      <c r="F150" s="127" t="str">
        <f>IF($B149="","",IF($B149+1&gt;'Qredits maandlasten'!$C$4,"",EOMONTH(E150,0)))</f>
        <v/>
      </c>
      <c r="G150" s="128" t="str">
        <f>IF($B149="","",IF($B149+1&gt;'Qredits maandlasten'!$C$4,"",(_xlfn.DAYS(F150,E150)+1)/DAY(F150)))</f>
        <v/>
      </c>
      <c r="H150" s="129"/>
      <c r="I150" s="130" t="str">
        <f>IF($B149="","",IF($B149+1&gt;'Qredits maandlasten'!$C$4,"",I149-J149))</f>
        <v/>
      </c>
      <c r="J150" s="130" t="str">
        <f>IF($B149="","",IF($B149+1&gt;'Qredits maandlasten'!$C$4,"",IF(B149&lt;'Qredits maandlasten'!$C$11-1,0,IF('Qredits maandlasten'!$C$10=dropdowns!$A$93,'Qredits maandlasten'!$J$3,IF('Qredits maandlasten'!$C$10=dropdowns!$A$92,IFERROR('Qredits maandlasten'!$J$3-K150,0),0)))))</f>
        <v/>
      </c>
      <c r="K150" s="130" t="str">
        <f>IF($B149="","",IF($B149+1&gt;'Qredits maandlasten'!$C$4,"",G150*I150*'Qredits maandlasten'!$C$8))</f>
        <v/>
      </c>
      <c r="L150" s="130" t="str">
        <f t="shared" si="12"/>
        <v/>
      </c>
      <c r="M150" s="130" t="str">
        <f t="shared" si="10"/>
        <v/>
      </c>
      <c r="N150" s="129"/>
      <c r="O150" s="131" t="str">
        <f>IF($B150="","",'Qredits maandlasten'!$C$8)</f>
        <v/>
      </c>
      <c r="P150" s="131" t="str">
        <f>IF($B150="","",'Qredits maandlasten'!$C$8*(POWER(1+'Qredits maandlasten'!$C$8,$B150-1+1)))</f>
        <v/>
      </c>
      <c r="Q150" s="131" t="str">
        <f t="shared" si="13"/>
        <v/>
      </c>
      <c r="R150" s="129"/>
      <c r="S150" s="130" t="str">
        <f t="shared" si="11"/>
        <v/>
      </c>
      <c r="T150" s="130" t="str">
        <f>IF(S150="","",J150/(POWER(1+'Qredits maandlasten'!$C$8,$B150-1+1)))</f>
        <v/>
      </c>
      <c r="U150" s="132" t="str">
        <f t="shared" si="14"/>
        <v/>
      </c>
      <c r="V150" s="130" t="str">
        <f>IF($B150="","",K150/(POWER(1+'Qredits maandlasten'!$C$8,$B150-1+1)))</f>
        <v/>
      </c>
      <c r="W150" s="129"/>
    </row>
    <row r="151" spans="1:23" s="134" customFormat="1" x14ac:dyDescent="0.2">
      <c r="A151" s="125"/>
      <c r="B151" s="126" t="str">
        <f>IF($B150="","",IF($B150+1&gt;'Qredits maandlasten'!$C$4,"",Schema!B150+1))</f>
        <v/>
      </c>
      <c r="C151" s="127" t="str">
        <f>IF($B150="","",IF($B150+1&gt;'Qredits maandlasten'!$C$4,"",EOMONTH(C150,0)+1))</f>
        <v/>
      </c>
      <c r="D151" s="125"/>
      <c r="E151" s="127" t="str">
        <f>IF($B150="","",IF($B150+1&gt;'Qredits maandlasten'!$C$4,"",F150+1))</f>
        <v/>
      </c>
      <c r="F151" s="127" t="str">
        <f>IF($B150="","",IF($B150+1&gt;'Qredits maandlasten'!$C$4,"",EOMONTH(E151,0)))</f>
        <v/>
      </c>
      <c r="G151" s="128" t="str">
        <f>IF($B150="","",IF($B150+1&gt;'Qredits maandlasten'!$C$4,"",(_xlfn.DAYS(F151,E151)+1)/DAY(F151)))</f>
        <v/>
      </c>
      <c r="H151" s="129"/>
      <c r="I151" s="130" t="str">
        <f>IF($B150="","",IF($B150+1&gt;'Qredits maandlasten'!$C$4,"",I150-J150))</f>
        <v/>
      </c>
      <c r="J151" s="130" t="str">
        <f>IF($B150="","",IF($B150+1&gt;'Qredits maandlasten'!$C$4,"",IF(B150&lt;'Qredits maandlasten'!$C$11-1,0,IF('Qredits maandlasten'!$C$10=dropdowns!$A$93,'Qredits maandlasten'!$J$3,IF('Qredits maandlasten'!$C$10=dropdowns!$A$92,IFERROR('Qredits maandlasten'!$J$3-K151,0),0)))))</f>
        <v/>
      </c>
      <c r="K151" s="130" t="str">
        <f>IF($B150="","",IF($B150+1&gt;'Qredits maandlasten'!$C$4,"",G151*I151*'Qredits maandlasten'!$C$8))</f>
        <v/>
      </c>
      <c r="L151" s="130" t="str">
        <f t="shared" si="12"/>
        <v/>
      </c>
      <c r="M151" s="130" t="str">
        <f t="shared" si="10"/>
        <v/>
      </c>
      <c r="N151" s="129"/>
      <c r="O151" s="131" t="str">
        <f>IF($B151="","",'Qredits maandlasten'!$C$8)</f>
        <v/>
      </c>
      <c r="P151" s="131" t="str">
        <f>IF($B151="","",'Qredits maandlasten'!$C$8*(POWER(1+'Qredits maandlasten'!$C$8,$B151-1+1)))</f>
        <v/>
      </c>
      <c r="Q151" s="131" t="str">
        <f t="shared" si="13"/>
        <v/>
      </c>
      <c r="R151" s="129"/>
      <c r="S151" s="130" t="str">
        <f t="shared" si="11"/>
        <v/>
      </c>
      <c r="T151" s="130" t="str">
        <f>IF(S151="","",J151/(POWER(1+'Qredits maandlasten'!$C$8,$B151-1+1)))</f>
        <v/>
      </c>
      <c r="U151" s="132" t="str">
        <f t="shared" si="14"/>
        <v/>
      </c>
      <c r="V151" s="130" t="str">
        <f>IF($B151="","",K151/(POWER(1+'Qredits maandlasten'!$C$8,$B151-1+1)))</f>
        <v/>
      </c>
      <c r="W151" s="129"/>
    </row>
    <row r="152" spans="1:23" s="134" customFormat="1" x14ac:dyDescent="0.2">
      <c r="A152" s="125"/>
      <c r="B152" s="126" t="str">
        <f>IF($B151="","",IF($B151+1&gt;'Qredits maandlasten'!$C$4,"",Schema!B151+1))</f>
        <v/>
      </c>
      <c r="C152" s="127" t="str">
        <f>IF($B151="","",IF($B151+1&gt;'Qredits maandlasten'!$C$4,"",EOMONTH(C151,0)+1))</f>
        <v/>
      </c>
      <c r="D152" s="125"/>
      <c r="E152" s="127" t="str">
        <f>IF($B151="","",IF($B151+1&gt;'Qredits maandlasten'!$C$4,"",F151+1))</f>
        <v/>
      </c>
      <c r="F152" s="127" t="str">
        <f>IF($B151="","",IF($B151+1&gt;'Qredits maandlasten'!$C$4,"",EOMONTH(E152,0)))</f>
        <v/>
      </c>
      <c r="G152" s="128" t="str">
        <f>IF($B151="","",IF($B151+1&gt;'Qredits maandlasten'!$C$4,"",(_xlfn.DAYS(F152,E152)+1)/DAY(F152)))</f>
        <v/>
      </c>
      <c r="H152" s="129"/>
      <c r="I152" s="130" t="str">
        <f>IF($B151="","",IF($B151+1&gt;'Qredits maandlasten'!$C$4,"",I151-J151))</f>
        <v/>
      </c>
      <c r="J152" s="130" t="str">
        <f>IF($B151="","",IF($B151+1&gt;'Qredits maandlasten'!$C$4,"",IF(B151&lt;'Qredits maandlasten'!$C$11-1,0,IF('Qredits maandlasten'!$C$10=dropdowns!$A$93,'Qredits maandlasten'!$J$3,IF('Qredits maandlasten'!$C$10=dropdowns!$A$92,IFERROR('Qredits maandlasten'!$J$3-K152,0),0)))))</f>
        <v/>
      </c>
      <c r="K152" s="130" t="str">
        <f>IF($B151="","",IF($B151+1&gt;'Qredits maandlasten'!$C$4,"",G152*I152*'Qredits maandlasten'!$C$8))</f>
        <v/>
      </c>
      <c r="L152" s="130" t="str">
        <f t="shared" si="12"/>
        <v/>
      </c>
      <c r="M152" s="130" t="str">
        <f t="shared" si="10"/>
        <v/>
      </c>
      <c r="N152" s="129"/>
      <c r="O152" s="131" t="str">
        <f>IF($B152="","",'Qredits maandlasten'!$C$8)</f>
        <v/>
      </c>
      <c r="P152" s="131" t="str">
        <f>IF($B152="","",'Qredits maandlasten'!$C$8*(POWER(1+'Qredits maandlasten'!$C$8,$B152-1+1)))</f>
        <v/>
      </c>
      <c r="Q152" s="131" t="str">
        <f t="shared" si="13"/>
        <v/>
      </c>
      <c r="R152" s="129"/>
      <c r="S152" s="130" t="str">
        <f t="shared" si="11"/>
        <v/>
      </c>
      <c r="T152" s="130" t="str">
        <f>IF(S152="","",J152/(POWER(1+'Qredits maandlasten'!$C$8,$B152-1+1)))</f>
        <v/>
      </c>
      <c r="U152" s="132" t="str">
        <f t="shared" si="14"/>
        <v/>
      </c>
      <c r="V152" s="130" t="str">
        <f>IF($B152="","",K152/(POWER(1+'Qredits maandlasten'!$C$8,$B152-1+1)))</f>
        <v/>
      </c>
      <c r="W152" s="129"/>
    </row>
    <row r="153" spans="1:23" s="134" customFormat="1" x14ac:dyDescent="0.2">
      <c r="A153" s="125"/>
      <c r="B153" s="126" t="str">
        <f>IF($B152="","",IF($B152+1&gt;'Qredits maandlasten'!$C$4,"",Schema!B152+1))</f>
        <v/>
      </c>
      <c r="C153" s="127" t="str">
        <f>IF($B152="","",IF($B152+1&gt;'Qredits maandlasten'!$C$4,"",EOMONTH(C152,0)+1))</f>
        <v/>
      </c>
      <c r="D153" s="125"/>
      <c r="E153" s="127" t="str">
        <f>IF($B152="","",IF($B152+1&gt;'Qredits maandlasten'!$C$4,"",F152+1))</f>
        <v/>
      </c>
      <c r="F153" s="127" t="str">
        <f>IF($B152="","",IF($B152+1&gt;'Qredits maandlasten'!$C$4,"",EOMONTH(E153,0)))</f>
        <v/>
      </c>
      <c r="G153" s="128" t="str">
        <f>IF($B152="","",IF($B152+1&gt;'Qredits maandlasten'!$C$4,"",(_xlfn.DAYS(F153,E153)+1)/DAY(F153)))</f>
        <v/>
      </c>
      <c r="H153" s="129"/>
      <c r="I153" s="130" t="str">
        <f>IF($B152="","",IF($B152+1&gt;'Qredits maandlasten'!$C$4,"",I152-J152))</f>
        <v/>
      </c>
      <c r="J153" s="130" t="str">
        <f>IF($B152="","",IF($B152+1&gt;'Qredits maandlasten'!$C$4,"",IF(B152&lt;'Qredits maandlasten'!$C$11-1,0,IF('Qredits maandlasten'!$C$10=dropdowns!$A$93,'Qredits maandlasten'!$J$3,IF('Qredits maandlasten'!$C$10=dropdowns!$A$92,IFERROR('Qredits maandlasten'!$J$3-K153,0),0)))))</f>
        <v/>
      </c>
      <c r="K153" s="130" t="str">
        <f>IF($B152="","",IF($B152+1&gt;'Qredits maandlasten'!$C$4,"",G153*I153*'Qredits maandlasten'!$C$8))</f>
        <v/>
      </c>
      <c r="L153" s="130" t="str">
        <f t="shared" si="12"/>
        <v/>
      </c>
      <c r="M153" s="130" t="str">
        <f t="shared" si="10"/>
        <v/>
      </c>
      <c r="N153" s="129"/>
      <c r="O153" s="131" t="str">
        <f>IF($B153="","",'Qredits maandlasten'!$C$8)</f>
        <v/>
      </c>
      <c r="P153" s="131" t="str">
        <f>IF($B153="","",'Qredits maandlasten'!$C$8*(POWER(1+'Qredits maandlasten'!$C$8,$B153-1+1)))</f>
        <v/>
      </c>
      <c r="Q153" s="131" t="str">
        <f t="shared" si="13"/>
        <v/>
      </c>
      <c r="R153" s="129"/>
      <c r="S153" s="130" t="str">
        <f t="shared" si="11"/>
        <v/>
      </c>
      <c r="T153" s="130" t="str">
        <f>IF(S153="","",J153/(POWER(1+'Qredits maandlasten'!$C$8,$B153-1+1)))</f>
        <v/>
      </c>
      <c r="U153" s="132" t="str">
        <f t="shared" si="14"/>
        <v/>
      </c>
      <c r="V153" s="130" t="str">
        <f>IF($B153="","",K153/(POWER(1+'Qredits maandlasten'!$C$8,$B153-1+1)))</f>
        <v/>
      </c>
      <c r="W153" s="129"/>
    </row>
    <row r="154" spans="1:23" s="134" customFormat="1" x14ac:dyDescent="0.2">
      <c r="A154" s="125"/>
      <c r="B154" s="126" t="str">
        <f>IF($B153="","",IF($B153+1&gt;'Qredits maandlasten'!$C$4,"",Schema!B153+1))</f>
        <v/>
      </c>
      <c r="C154" s="127" t="str">
        <f>IF($B153="","",IF($B153+1&gt;'Qredits maandlasten'!$C$4,"",EOMONTH(C153,0)+1))</f>
        <v/>
      </c>
      <c r="D154" s="125"/>
      <c r="E154" s="127" t="str">
        <f>IF($B153="","",IF($B153+1&gt;'Qredits maandlasten'!$C$4,"",F153+1))</f>
        <v/>
      </c>
      <c r="F154" s="127" t="str">
        <f>IF($B153="","",IF($B153+1&gt;'Qredits maandlasten'!$C$4,"",EOMONTH(E154,0)))</f>
        <v/>
      </c>
      <c r="G154" s="128" t="str">
        <f>IF($B153="","",IF($B153+1&gt;'Qredits maandlasten'!$C$4,"",(_xlfn.DAYS(F154,E154)+1)/DAY(F154)))</f>
        <v/>
      </c>
      <c r="H154" s="129"/>
      <c r="I154" s="130" t="str">
        <f>IF($B153="","",IF($B153+1&gt;'Qredits maandlasten'!$C$4,"",I153-J153))</f>
        <v/>
      </c>
      <c r="J154" s="130" t="str">
        <f>IF($B153="","",IF($B153+1&gt;'Qredits maandlasten'!$C$4,"",IF(B153&lt;'Qredits maandlasten'!$C$11-1,0,IF('Qredits maandlasten'!$C$10=dropdowns!$A$93,'Qredits maandlasten'!$J$3,IF('Qredits maandlasten'!$C$10=dropdowns!$A$92,IFERROR('Qredits maandlasten'!$J$3-K154,0),0)))))</f>
        <v/>
      </c>
      <c r="K154" s="130" t="str">
        <f>IF($B153="","",IF($B153+1&gt;'Qredits maandlasten'!$C$4,"",G154*I154*'Qredits maandlasten'!$C$8))</f>
        <v/>
      </c>
      <c r="L154" s="130" t="str">
        <f t="shared" si="12"/>
        <v/>
      </c>
      <c r="M154" s="130" t="str">
        <f t="shared" si="10"/>
        <v/>
      </c>
      <c r="N154" s="129"/>
      <c r="O154" s="131" t="str">
        <f>IF($B154="","",'Qredits maandlasten'!$C$8)</f>
        <v/>
      </c>
      <c r="P154" s="131" t="str">
        <f>IF($B154="","",'Qredits maandlasten'!$C$8*(POWER(1+'Qredits maandlasten'!$C$8,$B154-1+1)))</f>
        <v/>
      </c>
      <c r="Q154" s="131" t="str">
        <f t="shared" si="13"/>
        <v/>
      </c>
      <c r="R154" s="129"/>
      <c r="S154" s="130" t="str">
        <f t="shared" si="11"/>
        <v/>
      </c>
      <c r="T154" s="130" t="str">
        <f>IF(S154="","",J154/(POWER(1+'Qredits maandlasten'!$C$8,$B154-1+1)))</f>
        <v/>
      </c>
      <c r="U154" s="132" t="str">
        <f t="shared" si="14"/>
        <v/>
      </c>
      <c r="V154" s="130" t="str">
        <f>IF($B154="","",K154/(POWER(1+'Qredits maandlasten'!$C$8,$B154-1+1)))</f>
        <v/>
      </c>
      <c r="W154" s="129"/>
    </row>
    <row r="155" spans="1:23" s="134" customFormat="1" x14ac:dyDescent="0.2">
      <c r="A155" s="125"/>
      <c r="B155" s="126" t="str">
        <f>IF($B154="","",IF($B154+1&gt;'Qredits maandlasten'!$C$4,"",Schema!B154+1))</f>
        <v/>
      </c>
      <c r="C155" s="127" t="str">
        <f>IF($B154="","",IF($B154+1&gt;'Qredits maandlasten'!$C$4,"",EOMONTH(C154,0)+1))</f>
        <v/>
      </c>
      <c r="D155" s="125"/>
      <c r="E155" s="127" t="str">
        <f>IF($B154="","",IF($B154+1&gt;'Qredits maandlasten'!$C$4,"",F154+1))</f>
        <v/>
      </c>
      <c r="F155" s="127" t="str">
        <f>IF($B154="","",IF($B154+1&gt;'Qredits maandlasten'!$C$4,"",EOMONTH(E155,0)))</f>
        <v/>
      </c>
      <c r="G155" s="128" t="str">
        <f>IF($B154="","",IF($B154+1&gt;'Qredits maandlasten'!$C$4,"",(_xlfn.DAYS(F155,E155)+1)/DAY(F155)))</f>
        <v/>
      </c>
      <c r="H155" s="129"/>
      <c r="I155" s="130" t="str">
        <f>IF($B154="","",IF($B154+1&gt;'Qredits maandlasten'!$C$4,"",I154-J154))</f>
        <v/>
      </c>
      <c r="J155" s="130" t="str">
        <f>IF($B154="","",IF($B154+1&gt;'Qredits maandlasten'!$C$4,"",IF(B154&lt;'Qredits maandlasten'!$C$11-1,0,IF('Qredits maandlasten'!$C$10=dropdowns!$A$93,'Qredits maandlasten'!$J$3,IF('Qredits maandlasten'!$C$10=dropdowns!$A$92,IFERROR('Qredits maandlasten'!$J$3-K155,0),0)))))</f>
        <v/>
      </c>
      <c r="K155" s="130" t="str">
        <f>IF($B154="","",IF($B154+1&gt;'Qredits maandlasten'!$C$4,"",G155*I155*'Qredits maandlasten'!$C$8))</f>
        <v/>
      </c>
      <c r="L155" s="130" t="str">
        <f t="shared" si="12"/>
        <v/>
      </c>
      <c r="M155" s="130" t="str">
        <f t="shared" si="10"/>
        <v/>
      </c>
      <c r="N155" s="129"/>
      <c r="O155" s="131" t="str">
        <f>IF($B155="","",'Qredits maandlasten'!$C$8)</f>
        <v/>
      </c>
      <c r="P155" s="131" t="str">
        <f>IF($B155="","",'Qredits maandlasten'!$C$8*(POWER(1+'Qredits maandlasten'!$C$8,$B155-1+1)))</f>
        <v/>
      </c>
      <c r="Q155" s="131" t="str">
        <f t="shared" si="13"/>
        <v/>
      </c>
      <c r="R155" s="129"/>
      <c r="S155" s="130" t="str">
        <f t="shared" si="11"/>
        <v/>
      </c>
      <c r="T155" s="130" t="str">
        <f>IF(S155="","",J155/(POWER(1+'Qredits maandlasten'!$C$8,$B155-1+1)))</f>
        <v/>
      </c>
      <c r="U155" s="132" t="str">
        <f t="shared" si="14"/>
        <v/>
      </c>
      <c r="V155" s="130" t="str">
        <f>IF($B155="","",K155/(POWER(1+'Qredits maandlasten'!$C$8,$B155-1+1)))</f>
        <v/>
      </c>
      <c r="W155" s="129"/>
    </row>
    <row r="156" spans="1:23" s="134" customFormat="1" x14ac:dyDescent="0.2">
      <c r="A156" s="125"/>
      <c r="B156" s="126" t="str">
        <f>IF($B155="","",IF($B155+1&gt;'Qredits maandlasten'!$C$4,"",Schema!B155+1))</f>
        <v/>
      </c>
      <c r="C156" s="127" t="str">
        <f>IF($B155="","",IF($B155+1&gt;'Qredits maandlasten'!$C$4,"",EOMONTH(C155,0)+1))</f>
        <v/>
      </c>
      <c r="D156" s="125"/>
      <c r="E156" s="127" t="str">
        <f>IF($B155="","",IF($B155+1&gt;'Qredits maandlasten'!$C$4,"",F155+1))</f>
        <v/>
      </c>
      <c r="F156" s="127" t="str">
        <f>IF($B155="","",IF($B155+1&gt;'Qredits maandlasten'!$C$4,"",EOMONTH(E156,0)))</f>
        <v/>
      </c>
      <c r="G156" s="128" t="str">
        <f>IF($B155="","",IF($B155+1&gt;'Qredits maandlasten'!$C$4,"",(_xlfn.DAYS(F156,E156)+1)/DAY(F156)))</f>
        <v/>
      </c>
      <c r="H156" s="129"/>
      <c r="I156" s="130" t="str">
        <f>IF($B155="","",IF($B155+1&gt;'Qredits maandlasten'!$C$4,"",I155-J155))</f>
        <v/>
      </c>
      <c r="J156" s="130" t="str">
        <f>IF($B155="","",IF($B155+1&gt;'Qredits maandlasten'!$C$4,"",IF(B155&lt;'Qredits maandlasten'!$C$11-1,0,IF('Qredits maandlasten'!$C$10=dropdowns!$A$93,'Qredits maandlasten'!$J$3,IF('Qredits maandlasten'!$C$10=dropdowns!$A$92,IFERROR('Qredits maandlasten'!$J$3-K156,0),0)))))</f>
        <v/>
      </c>
      <c r="K156" s="130" t="str">
        <f>IF($B155="","",IF($B155+1&gt;'Qredits maandlasten'!$C$4,"",G156*I156*'Qredits maandlasten'!$C$8))</f>
        <v/>
      </c>
      <c r="L156" s="130" t="str">
        <f t="shared" si="12"/>
        <v/>
      </c>
      <c r="M156" s="130" t="str">
        <f t="shared" si="10"/>
        <v/>
      </c>
      <c r="N156" s="129"/>
      <c r="O156" s="131" t="str">
        <f>IF($B156="","",'Qredits maandlasten'!$C$8)</f>
        <v/>
      </c>
      <c r="P156" s="131" t="str">
        <f>IF($B156="","",'Qredits maandlasten'!$C$8*(POWER(1+'Qredits maandlasten'!$C$8,$B156-1+1)))</f>
        <v/>
      </c>
      <c r="Q156" s="131" t="str">
        <f t="shared" si="13"/>
        <v/>
      </c>
      <c r="R156" s="129"/>
      <c r="S156" s="130" t="str">
        <f t="shared" si="11"/>
        <v/>
      </c>
      <c r="T156" s="130" t="str">
        <f>IF(S156="","",J156/(POWER(1+'Qredits maandlasten'!$C$8,$B156-1+1)))</f>
        <v/>
      </c>
      <c r="U156" s="132" t="str">
        <f t="shared" si="14"/>
        <v/>
      </c>
      <c r="V156" s="130" t="str">
        <f>IF($B156="","",K156/(POWER(1+'Qredits maandlasten'!$C$8,$B156-1+1)))</f>
        <v/>
      </c>
      <c r="W156" s="129"/>
    </row>
    <row r="157" spans="1:23" s="134" customFormat="1" x14ac:dyDescent="0.2">
      <c r="A157" s="125"/>
      <c r="B157" s="126" t="str">
        <f>IF($B156="","",IF($B156+1&gt;'Qredits maandlasten'!$C$4,"",Schema!B156+1))</f>
        <v/>
      </c>
      <c r="C157" s="127" t="str">
        <f>IF($B156="","",IF($B156+1&gt;'Qredits maandlasten'!$C$4,"",EOMONTH(C156,0)+1))</f>
        <v/>
      </c>
      <c r="D157" s="125"/>
      <c r="E157" s="127" t="str">
        <f>IF($B156="","",IF($B156+1&gt;'Qredits maandlasten'!$C$4,"",F156+1))</f>
        <v/>
      </c>
      <c r="F157" s="127" t="str">
        <f>IF($B156="","",IF($B156+1&gt;'Qredits maandlasten'!$C$4,"",EOMONTH(E157,0)))</f>
        <v/>
      </c>
      <c r="G157" s="128" t="str">
        <f>IF($B156="","",IF($B156+1&gt;'Qredits maandlasten'!$C$4,"",(_xlfn.DAYS(F157,E157)+1)/DAY(F157)))</f>
        <v/>
      </c>
      <c r="H157" s="129"/>
      <c r="I157" s="130" t="str">
        <f>IF($B156="","",IF($B156+1&gt;'Qredits maandlasten'!$C$4,"",I156-J156))</f>
        <v/>
      </c>
      <c r="J157" s="130" t="str">
        <f>IF($B156="","",IF($B156+1&gt;'Qredits maandlasten'!$C$4,"",IF(B156&lt;'Qredits maandlasten'!$C$11-1,0,IF('Qredits maandlasten'!$C$10=dropdowns!$A$93,'Qredits maandlasten'!$J$3,IF('Qredits maandlasten'!$C$10=dropdowns!$A$92,IFERROR('Qredits maandlasten'!$J$3-K157,0),0)))))</f>
        <v/>
      </c>
      <c r="K157" s="130" t="str">
        <f>IF($B156="","",IF($B156+1&gt;'Qredits maandlasten'!$C$4,"",G157*I157*'Qredits maandlasten'!$C$8))</f>
        <v/>
      </c>
      <c r="L157" s="130" t="str">
        <f t="shared" si="12"/>
        <v/>
      </c>
      <c r="M157" s="130" t="str">
        <f t="shared" si="10"/>
        <v/>
      </c>
      <c r="N157" s="129"/>
      <c r="O157" s="131" t="str">
        <f>IF($B157="","",'Qredits maandlasten'!$C$8)</f>
        <v/>
      </c>
      <c r="P157" s="131" t="str">
        <f>IF($B157="","",'Qredits maandlasten'!$C$8*(POWER(1+'Qredits maandlasten'!$C$8,$B157-1+1)))</f>
        <v/>
      </c>
      <c r="Q157" s="131" t="str">
        <f t="shared" si="13"/>
        <v/>
      </c>
      <c r="R157" s="129"/>
      <c r="S157" s="130" t="str">
        <f t="shared" si="11"/>
        <v/>
      </c>
      <c r="T157" s="130" t="str">
        <f>IF(S157="","",J157/(POWER(1+'Qredits maandlasten'!$C$8,$B157-1+1)))</f>
        <v/>
      </c>
      <c r="U157" s="132" t="str">
        <f t="shared" si="14"/>
        <v/>
      </c>
      <c r="V157" s="130" t="str">
        <f>IF($B157="","",K157/(POWER(1+'Qredits maandlasten'!$C$8,$B157-1+1)))</f>
        <v/>
      </c>
      <c r="W157" s="129"/>
    </row>
    <row r="158" spans="1:23" s="134" customFormat="1" x14ac:dyDescent="0.2">
      <c r="A158" s="125"/>
      <c r="B158" s="126" t="str">
        <f>IF($B157="","",IF($B157+1&gt;'Qredits maandlasten'!$C$4,"",Schema!B157+1))</f>
        <v/>
      </c>
      <c r="C158" s="127" t="str">
        <f>IF($B157="","",IF($B157+1&gt;'Qredits maandlasten'!$C$4,"",EOMONTH(C157,0)+1))</f>
        <v/>
      </c>
      <c r="D158" s="125"/>
      <c r="E158" s="127" t="str">
        <f>IF($B157="","",IF($B157+1&gt;'Qredits maandlasten'!$C$4,"",F157+1))</f>
        <v/>
      </c>
      <c r="F158" s="127" t="str">
        <f>IF($B157="","",IF($B157+1&gt;'Qredits maandlasten'!$C$4,"",EOMONTH(E158,0)))</f>
        <v/>
      </c>
      <c r="G158" s="128" t="str">
        <f>IF($B157="","",IF($B157+1&gt;'Qredits maandlasten'!$C$4,"",(_xlfn.DAYS(F158,E158)+1)/DAY(F158)))</f>
        <v/>
      </c>
      <c r="H158" s="129"/>
      <c r="I158" s="130" t="str">
        <f>IF($B157="","",IF($B157+1&gt;'Qredits maandlasten'!$C$4,"",I157-J157))</f>
        <v/>
      </c>
      <c r="J158" s="130" t="str">
        <f>IF($B157="","",IF($B157+1&gt;'Qredits maandlasten'!$C$4,"",IF(B157&lt;'Qredits maandlasten'!$C$11-1,0,IF('Qredits maandlasten'!$C$10=dropdowns!$A$93,'Qredits maandlasten'!$J$3,IF('Qredits maandlasten'!$C$10=dropdowns!$A$92,IFERROR('Qredits maandlasten'!$J$3-K158,0),0)))))</f>
        <v/>
      </c>
      <c r="K158" s="130" t="str">
        <f>IF($B157="","",IF($B157+1&gt;'Qredits maandlasten'!$C$4,"",G158*I158*'Qredits maandlasten'!$C$8))</f>
        <v/>
      </c>
      <c r="L158" s="130" t="str">
        <f t="shared" si="12"/>
        <v/>
      </c>
      <c r="M158" s="130" t="str">
        <f t="shared" si="10"/>
        <v/>
      </c>
      <c r="N158" s="129"/>
      <c r="O158" s="131" t="str">
        <f>IF($B158="","",'Qredits maandlasten'!$C$8)</f>
        <v/>
      </c>
      <c r="P158" s="131" t="str">
        <f>IF($B158="","",'Qredits maandlasten'!$C$8*(POWER(1+'Qredits maandlasten'!$C$8,$B158-1+1)))</f>
        <v/>
      </c>
      <c r="Q158" s="131" t="str">
        <f t="shared" si="13"/>
        <v/>
      </c>
      <c r="R158" s="129"/>
      <c r="S158" s="130" t="str">
        <f t="shared" si="11"/>
        <v/>
      </c>
      <c r="T158" s="130" t="str">
        <f>IF(S158="","",J158/(POWER(1+'Qredits maandlasten'!$C$8,$B158-1+1)))</f>
        <v/>
      </c>
      <c r="U158" s="132" t="str">
        <f t="shared" si="14"/>
        <v/>
      </c>
      <c r="V158" s="130" t="str">
        <f>IF($B158="","",K158/(POWER(1+'Qredits maandlasten'!$C$8,$B158-1+1)))</f>
        <v/>
      </c>
      <c r="W158" s="129"/>
    </row>
    <row r="159" spans="1:23" s="134" customFormat="1" x14ac:dyDescent="0.2">
      <c r="A159" s="125"/>
      <c r="B159" s="126" t="str">
        <f>IF($B158="","",IF($B158+1&gt;'Qredits maandlasten'!$C$4,"",Schema!B158+1))</f>
        <v/>
      </c>
      <c r="C159" s="127" t="str">
        <f>IF($B158="","",IF($B158+1&gt;'Qredits maandlasten'!$C$4,"",EOMONTH(C158,0)+1))</f>
        <v/>
      </c>
      <c r="D159" s="125"/>
      <c r="E159" s="127" t="str">
        <f>IF($B158="","",IF($B158+1&gt;'Qredits maandlasten'!$C$4,"",F158+1))</f>
        <v/>
      </c>
      <c r="F159" s="127" t="str">
        <f>IF($B158="","",IF($B158+1&gt;'Qredits maandlasten'!$C$4,"",EOMONTH(E159,0)))</f>
        <v/>
      </c>
      <c r="G159" s="128" t="str">
        <f>IF($B158="","",IF($B158+1&gt;'Qredits maandlasten'!$C$4,"",(_xlfn.DAYS(F159,E159)+1)/DAY(F159)))</f>
        <v/>
      </c>
      <c r="H159" s="129"/>
      <c r="I159" s="130" t="str">
        <f>IF($B158="","",IF($B158+1&gt;'Qredits maandlasten'!$C$4,"",I158-J158))</f>
        <v/>
      </c>
      <c r="J159" s="130" t="str">
        <f>IF($B158="","",IF($B158+1&gt;'Qredits maandlasten'!$C$4,"",IF(B158&lt;'Qredits maandlasten'!$C$11-1,0,IF('Qredits maandlasten'!$C$10=dropdowns!$A$93,'Qredits maandlasten'!$J$3,IF('Qredits maandlasten'!$C$10=dropdowns!$A$92,IFERROR('Qredits maandlasten'!$J$3-K159,0),0)))))</f>
        <v/>
      </c>
      <c r="K159" s="130" t="str">
        <f>IF($B158="","",IF($B158+1&gt;'Qredits maandlasten'!$C$4,"",G159*I159*'Qredits maandlasten'!$C$8))</f>
        <v/>
      </c>
      <c r="L159" s="130" t="str">
        <f t="shared" si="12"/>
        <v/>
      </c>
      <c r="M159" s="130" t="str">
        <f t="shared" si="10"/>
        <v/>
      </c>
      <c r="N159" s="129"/>
      <c r="O159" s="131" t="str">
        <f>IF($B159="","",'Qredits maandlasten'!$C$8)</f>
        <v/>
      </c>
      <c r="P159" s="131" t="str">
        <f>IF($B159="","",'Qredits maandlasten'!$C$8*(POWER(1+'Qredits maandlasten'!$C$8,$B159-1+1)))</f>
        <v/>
      </c>
      <c r="Q159" s="131" t="str">
        <f t="shared" si="13"/>
        <v/>
      </c>
      <c r="R159" s="129"/>
      <c r="S159" s="130" t="str">
        <f t="shared" si="11"/>
        <v/>
      </c>
      <c r="T159" s="130" t="str">
        <f>IF(S159="","",J159/(POWER(1+'Qredits maandlasten'!$C$8,$B159-1+1)))</f>
        <v/>
      </c>
      <c r="U159" s="132" t="str">
        <f t="shared" si="14"/>
        <v/>
      </c>
      <c r="V159" s="130" t="str">
        <f>IF($B159="","",K159/(POWER(1+'Qredits maandlasten'!$C$8,$B159-1+1)))</f>
        <v/>
      </c>
      <c r="W159" s="129"/>
    </row>
    <row r="160" spans="1:23" s="134" customFormat="1" x14ac:dyDescent="0.2">
      <c r="A160" s="125"/>
      <c r="B160" s="126" t="str">
        <f>IF($B159="","",IF($B159+1&gt;'Qredits maandlasten'!$C$4,"",Schema!B159+1))</f>
        <v/>
      </c>
      <c r="C160" s="127" t="str">
        <f>IF($B159="","",IF($B159+1&gt;'Qredits maandlasten'!$C$4,"",EOMONTH(C159,0)+1))</f>
        <v/>
      </c>
      <c r="D160" s="125"/>
      <c r="E160" s="127" t="str">
        <f>IF($B159="","",IF($B159+1&gt;'Qredits maandlasten'!$C$4,"",F159+1))</f>
        <v/>
      </c>
      <c r="F160" s="127" t="str">
        <f>IF($B159="","",IF($B159+1&gt;'Qredits maandlasten'!$C$4,"",EOMONTH(E160,0)))</f>
        <v/>
      </c>
      <c r="G160" s="128" t="str">
        <f>IF($B159="","",IF($B159+1&gt;'Qredits maandlasten'!$C$4,"",(_xlfn.DAYS(F160,E160)+1)/DAY(F160)))</f>
        <v/>
      </c>
      <c r="H160" s="129"/>
      <c r="I160" s="130" t="str">
        <f>IF($B159="","",IF($B159+1&gt;'Qredits maandlasten'!$C$4,"",I159-J159))</f>
        <v/>
      </c>
      <c r="J160" s="130" t="str">
        <f>IF($B159="","",IF($B159+1&gt;'Qredits maandlasten'!$C$4,"",IF(B159&lt;'Qredits maandlasten'!$C$11-1,0,IF('Qredits maandlasten'!$C$10=dropdowns!$A$93,'Qredits maandlasten'!$J$3,IF('Qredits maandlasten'!$C$10=dropdowns!$A$92,IFERROR('Qredits maandlasten'!$J$3-K160,0),0)))))</f>
        <v/>
      </c>
      <c r="K160" s="130" t="str">
        <f>IF($B159="","",IF($B159+1&gt;'Qredits maandlasten'!$C$4,"",G160*I160*'Qredits maandlasten'!$C$8))</f>
        <v/>
      </c>
      <c r="L160" s="130" t="str">
        <f t="shared" si="12"/>
        <v/>
      </c>
      <c r="M160" s="130" t="str">
        <f t="shared" si="10"/>
        <v/>
      </c>
      <c r="N160" s="129"/>
      <c r="O160" s="131" t="str">
        <f>IF($B160="","",'Qredits maandlasten'!$C$8)</f>
        <v/>
      </c>
      <c r="P160" s="131" t="str">
        <f>IF($B160="","",'Qredits maandlasten'!$C$8*(POWER(1+'Qredits maandlasten'!$C$8,$B160-1+1)))</f>
        <v/>
      </c>
      <c r="Q160" s="131" t="str">
        <f t="shared" si="13"/>
        <v/>
      </c>
      <c r="R160" s="129"/>
      <c r="S160" s="130" t="str">
        <f t="shared" si="11"/>
        <v/>
      </c>
      <c r="T160" s="130" t="str">
        <f>IF(S160="","",J160/(POWER(1+'Qredits maandlasten'!$C$8,$B160-1+1)))</f>
        <v/>
      </c>
      <c r="U160" s="132" t="str">
        <f t="shared" si="14"/>
        <v/>
      </c>
      <c r="V160" s="130" t="str">
        <f>IF($B160="","",K160/(POWER(1+'Qredits maandlasten'!$C$8,$B160-1+1)))</f>
        <v/>
      </c>
      <c r="W160" s="129"/>
    </row>
    <row r="161" spans="1:23" s="134" customFormat="1" x14ac:dyDescent="0.2">
      <c r="A161" s="125"/>
      <c r="B161" s="126" t="str">
        <f>IF($B160="","",IF($B160+1&gt;'Qredits maandlasten'!$C$4,"",Schema!B160+1))</f>
        <v/>
      </c>
      <c r="C161" s="127" t="str">
        <f>IF($B160="","",IF($B160+1&gt;'Qredits maandlasten'!$C$4,"",EOMONTH(C160,0)+1))</f>
        <v/>
      </c>
      <c r="D161" s="125"/>
      <c r="E161" s="127" t="str">
        <f>IF($B160="","",IF($B160+1&gt;'Qredits maandlasten'!$C$4,"",F160+1))</f>
        <v/>
      </c>
      <c r="F161" s="127" t="str">
        <f>IF($B160="","",IF($B160+1&gt;'Qredits maandlasten'!$C$4,"",EOMONTH(E161,0)))</f>
        <v/>
      </c>
      <c r="G161" s="128" t="str">
        <f>IF($B160="","",IF($B160+1&gt;'Qredits maandlasten'!$C$4,"",(_xlfn.DAYS(F161,E161)+1)/DAY(F161)))</f>
        <v/>
      </c>
      <c r="H161" s="129"/>
      <c r="I161" s="130" t="str">
        <f>IF($B160="","",IF($B160+1&gt;'Qredits maandlasten'!$C$4,"",I160-J160))</f>
        <v/>
      </c>
      <c r="J161" s="130" t="str">
        <f>IF($B160="","",IF($B160+1&gt;'Qredits maandlasten'!$C$4,"",IF(B160&lt;'Qredits maandlasten'!$C$11-1,0,IF('Qredits maandlasten'!$C$10=dropdowns!$A$93,'Qredits maandlasten'!$J$3,IF('Qredits maandlasten'!$C$10=dropdowns!$A$92,IFERROR('Qredits maandlasten'!$J$3-K161,0),0)))))</f>
        <v/>
      </c>
      <c r="K161" s="130" t="str">
        <f>IF($B160="","",IF($B160+1&gt;'Qredits maandlasten'!$C$4,"",G161*I161*'Qredits maandlasten'!$C$8))</f>
        <v/>
      </c>
      <c r="L161" s="130" t="str">
        <f t="shared" si="12"/>
        <v/>
      </c>
      <c r="M161" s="130" t="str">
        <f t="shared" si="10"/>
        <v/>
      </c>
      <c r="N161" s="129"/>
      <c r="O161" s="131" t="str">
        <f>IF($B161="","",'Qredits maandlasten'!$C$8)</f>
        <v/>
      </c>
      <c r="P161" s="131" t="str">
        <f>IF($B161="","",'Qredits maandlasten'!$C$8*(POWER(1+'Qredits maandlasten'!$C$8,$B161-1+1)))</f>
        <v/>
      </c>
      <c r="Q161" s="131" t="str">
        <f t="shared" si="13"/>
        <v/>
      </c>
      <c r="R161" s="129"/>
      <c r="S161" s="130" t="str">
        <f t="shared" si="11"/>
        <v/>
      </c>
      <c r="T161" s="130" t="str">
        <f>IF(S161="","",J161/(POWER(1+'Qredits maandlasten'!$C$8,$B161-1+1)))</f>
        <v/>
      </c>
      <c r="U161" s="132" t="str">
        <f t="shared" si="14"/>
        <v/>
      </c>
      <c r="V161" s="130" t="str">
        <f>IF($B161="","",K161/(POWER(1+'Qredits maandlasten'!$C$8,$B161-1+1)))</f>
        <v/>
      </c>
      <c r="W161" s="129"/>
    </row>
    <row r="162" spans="1:23" s="134" customFormat="1" x14ac:dyDescent="0.2">
      <c r="A162" s="125"/>
      <c r="B162" s="126" t="str">
        <f>IF($B161="","",IF($B161+1&gt;'Qredits maandlasten'!$C$4,"",Schema!B161+1))</f>
        <v/>
      </c>
      <c r="C162" s="127" t="str">
        <f>IF($B161="","",IF($B161+1&gt;'Qredits maandlasten'!$C$4,"",EOMONTH(C161,0)+1))</f>
        <v/>
      </c>
      <c r="D162" s="125"/>
      <c r="E162" s="127" t="str">
        <f>IF($B161="","",IF($B161+1&gt;'Qredits maandlasten'!$C$4,"",F161+1))</f>
        <v/>
      </c>
      <c r="F162" s="127" t="str">
        <f>IF($B161="","",IF($B161+1&gt;'Qredits maandlasten'!$C$4,"",EOMONTH(E162,0)))</f>
        <v/>
      </c>
      <c r="G162" s="128" t="str">
        <f>IF($B161="","",IF($B161+1&gt;'Qredits maandlasten'!$C$4,"",(_xlfn.DAYS(F162,E162)+1)/DAY(F162)))</f>
        <v/>
      </c>
      <c r="H162" s="129"/>
      <c r="I162" s="130" t="str">
        <f>IF($B161="","",IF($B161+1&gt;'Qredits maandlasten'!$C$4,"",I161-J161))</f>
        <v/>
      </c>
      <c r="J162" s="130" t="str">
        <f>IF($B161="","",IF($B161+1&gt;'Qredits maandlasten'!$C$4,"",IF(B161&lt;'Qredits maandlasten'!$C$11-1,0,IF('Qredits maandlasten'!$C$10=dropdowns!$A$93,'Qredits maandlasten'!$J$3,IF('Qredits maandlasten'!$C$10=dropdowns!$A$92,IFERROR('Qredits maandlasten'!$J$3-K162,0),0)))))</f>
        <v/>
      </c>
      <c r="K162" s="130" t="str">
        <f>IF($B161="","",IF($B161+1&gt;'Qredits maandlasten'!$C$4,"",G162*I162*'Qredits maandlasten'!$C$8))</f>
        <v/>
      </c>
      <c r="L162" s="130" t="str">
        <f t="shared" si="12"/>
        <v/>
      </c>
      <c r="M162" s="130" t="str">
        <f t="shared" si="10"/>
        <v/>
      </c>
      <c r="N162" s="129"/>
      <c r="O162" s="131" t="str">
        <f>IF($B162="","",'Qredits maandlasten'!$C$8)</f>
        <v/>
      </c>
      <c r="P162" s="131" t="str">
        <f>IF($B162="","",'Qredits maandlasten'!$C$8*(POWER(1+'Qredits maandlasten'!$C$8,$B162-1+1)))</f>
        <v/>
      </c>
      <c r="Q162" s="131" t="str">
        <f t="shared" si="13"/>
        <v/>
      </c>
      <c r="R162" s="129"/>
      <c r="S162" s="130" t="str">
        <f t="shared" si="11"/>
        <v/>
      </c>
      <c r="T162" s="130" t="str">
        <f>IF(S162="","",J162/(POWER(1+'Qredits maandlasten'!$C$8,$B162-1+1)))</f>
        <v/>
      </c>
      <c r="U162" s="132" t="str">
        <f t="shared" si="14"/>
        <v/>
      </c>
      <c r="V162" s="130" t="str">
        <f>IF($B162="","",K162/(POWER(1+'Qredits maandlasten'!$C$8,$B162-1+1)))</f>
        <v/>
      </c>
      <c r="W162" s="129"/>
    </row>
    <row r="163" spans="1:23" s="134" customFormat="1" x14ac:dyDescent="0.2">
      <c r="A163" s="125"/>
      <c r="B163" s="126" t="str">
        <f>IF($B162="","",IF($B162+1&gt;'Qredits maandlasten'!$C$4,"",Schema!B162+1))</f>
        <v/>
      </c>
      <c r="C163" s="127" t="str">
        <f>IF($B162="","",IF($B162+1&gt;'Qredits maandlasten'!$C$4,"",EOMONTH(C162,0)+1))</f>
        <v/>
      </c>
      <c r="D163" s="125"/>
      <c r="E163" s="127" t="str">
        <f>IF($B162="","",IF($B162+1&gt;'Qredits maandlasten'!$C$4,"",F162+1))</f>
        <v/>
      </c>
      <c r="F163" s="127" t="str">
        <f>IF($B162="","",IF($B162+1&gt;'Qredits maandlasten'!$C$4,"",EOMONTH(E163,0)))</f>
        <v/>
      </c>
      <c r="G163" s="128" t="str">
        <f>IF($B162="","",IF($B162+1&gt;'Qredits maandlasten'!$C$4,"",(_xlfn.DAYS(F163,E163)+1)/DAY(F163)))</f>
        <v/>
      </c>
      <c r="H163" s="129"/>
      <c r="I163" s="130" t="str">
        <f>IF($B162="","",IF($B162+1&gt;'Qredits maandlasten'!$C$4,"",I162-J162))</f>
        <v/>
      </c>
      <c r="J163" s="130" t="str">
        <f>IF($B162="","",IF($B162+1&gt;'Qredits maandlasten'!$C$4,"",IF(B162&lt;'Qredits maandlasten'!$C$11-1,0,IF('Qredits maandlasten'!$C$10=dropdowns!$A$93,'Qredits maandlasten'!$J$3,IF('Qredits maandlasten'!$C$10=dropdowns!$A$92,IFERROR('Qredits maandlasten'!$J$3-K163,0),0)))))</f>
        <v/>
      </c>
      <c r="K163" s="130" t="str">
        <f>IF($B162="","",IF($B162+1&gt;'Qredits maandlasten'!$C$4,"",G163*I163*'Qredits maandlasten'!$C$8))</f>
        <v/>
      </c>
      <c r="L163" s="130" t="str">
        <f t="shared" si="12"/>
        <v/>
      </c>
      <c r="M163" s="130" t="str">
        <f t="shared" si="10"/>
        <v/>
      </c>
      <c r="N163" s="129"/>
      <c r="O163" s="131" t="str">
        <f>IF($B163="","",'Qredits maandlasten'!$C$8)</f>
        <v/>
      </c>
      <c r="P163" s="131" t="str">
        <f>IF($B163="","",'Qredits maandlasten'!$C$8*(POWER(1+'Qredits maandlasten'!$C$8,$B163-1+1)))</f>
        <v/>
      </c>
      <c r="Q163" s="131" t="str">
        <f t="shared" si="13"/>
        <v/>
      </c>
      <c r="R163" s="129"/>
      <c r="S163" s="130" t="str">
        <f t="shared" si="11"/>
        <v/>
      </c>
      <c r="T163" s="130" t="str">
        <f>IF(S163="","",J163/(POWER(1+'Qredits maandlasten'!$C$8,$B163-1+1)))</f>
        <v/>
      </c>
      <c r="U163" s="132" t="str">
        <f t="shared" si="14"/>
        <v/>
      </c>
      <c r="V163" s="130" t="str">
        <f>IF($B163="","",K163/(POWER(1+'Qredits maandlasten'!$C$8,$B163-1+1)))</f>
        <v/>
      </c>
      <c r="W163" s="129"/>
    </row>
    <row r="164" spans="1:23" s="134" customFormat="1" x14ac:dyDescent="0.2">
      <c r="A164" s="125"/>
      <c r="B164" s="126" t="str">
        <f>IF($B163="","",IF($B163+1&gt;'Qredits maandlasten'!$C$4,"",Schema!B163+1))</f>
        <v/>
      </c>
      <c r="C164" s="127" t="str">
        <f>IF($B163="","",IF($B163+1&gt;'Qredits maandlasten'!$C$4,"",EOMONTH(C163,0)+1))</f>
        <v/>
      </c>
      <c r="D164" s="125"/>
      <c r="E164" s="127" t="str">
        <f>IF($B163="","",IF($B163+1&gt;'Qredits maandlasten'!$C$4,"",F163+1))</f>
        <v/>
      </c>
      <c r="F164" s="127" t="str">
        <f>IF($B163="","",IF($B163+1&gt;'Qredits maandlasten'!$C$4,"",EOMONTH(E164,0)))</f>
        <v/>
      </c>
      <c r="G164" s="128" t="str">
        <f>IF($B163="","",IF($B163+1&gt;'Qredits maandlasten'!$C$4,"",(_xlfn.DAYS(F164,E164)+1)/DAY(F164)))</f>
        <v/>
      </c>
      <c r="H164" s="129"/>
      <c r="I164" s="130" t="str">
        <f>IF($B163="","",IF($B163+1&gt;'Qredits maandlasten'!$C$4,"",I163-J163))</f>
        <v/>
      </c>
      <c r="J164" s="130" t="str">
        <f>IF($B163="","",IF($B163+1&gt;'Qredits maandlasten'!$C$4,"",IF(B163&lt;'Qredits maandlasten'!$C$11-1,0,IF('Qredits maandlasten'!$C$10=dropdowns!$A$93,'Qredits maandlasten'!$J$3,IF('Qredits maandlasten'!$C$10=dropdowns!$A$92,IFERROR('Qredits maandlasten'!$J$3-K164,0),0)))))</f>
        <v/>
      </c>
      <c r="K164" s="130" t="str">
        <f>IF($B163="","",IF($B163+1&gt;'Qredits maandlasten'!$C$4,"",G164*I164*'Qredits maandlasten'!$C$8))</f>
        <v/>
      </c>
      <c r="L164" s="130" t="str">
        <f t="shared" si="12"/>
        <v/>
      </c>
      <c r="M164" s="130" t="str">
        <f t="shared" si="10"/>
        <v/>
      </c>
      <c r="N164" s="129"/>
      <c r="O164" s="131" t="str">
        <f>IF($B164="","",'Qredits maandlasten'!$C$8)</f>
        <v/>
      </c>
      <c r="P164" s="131" t="str">
        <f>IF($B164="","",'Qredits maandlasten'!$C$8*(POWER(1+'Qredits maandlasten'!$C$8,$B164-1+1)))</f>
        <v/>
      </c>
      <c r="Q164" s="131" t="str">
        <f t="shared" si="13"/>
        <v/>
      </c>
      <c r="R164" s="129"/>
      <c r="S164" s="130" t="str">
        <f t="shared" si="11"/>
        <v/>
      </c>
      <c r="T164" s="130" t="str">
        <f>IF(S164="","",J164/(POWER(1+'Qredits maandlasten'!$C$8,$B164-1+1)))</f>
        <v/>
      </c>
      <c r="U164" s="132" t="str">
        <f t="shared" si="14"/>
        <v/>
      </c>
      <c r="V164" s="130" t="str">
        <f>IF($B164="","",K164/(POWER(1+'Qredits maandlasten'!$C$8,$B164-1+1)))</f>
        <v/>
      </c>
      <c r="W164" s="129"/>
    </row>
    <row r="165" spans="1:23" s="134" customFormat="1" x14ac:dyDescent="0.2">
      <c r="A165" s="125"/>
      <c r="B165" s="126" t="str">
        <f>IF($B164="","",IF($B164+1&gt;'Qredits maandlasten'!$C$4,"",Schema!B164+1))</f>
        <v/>
      </c>
      <c r="C165" s="127" t="str">
        <f>IF($B164="","",IF($B164+1&gt;'Qredits maandlasten'!$C$4,"",EOMONTH(C164,0)+1))</f>
        <v/>
      </c>
      <c r="D165" s="125"/>
      <c r="E165" s="127" t="str">
        <f>IF($B164="","",IF($B164+1&gt;'Qredits maandlasten'!$C$4,"",F164+1))</f>
        <v/>
      </c>
      <c r="F165" s="127" t="str">
        <f>IF($B164="","",IF($B164+1&gt;'Qredits maandlasten'!$C$4,"",EOMONTH(E165,0)))</f>
        <v/>
      </c>
      <c r="G165" s="128" t="str">
        <f>IF($B164="","",IF($B164+1&gt;'Qredits maandlasten'!$C$4,"",(_xlfn.DAYS(F165,E165)+1)/DAY(F165)))</f>
        <v/>
      </c>
      <c r="H165" s="129"/>
      <c r="I165" s="130" t="str">
        <f>IF($B164="","",IF($B164+1&gt;'Qredits maandlasten'!$C$4,"",I164-J164))</f>
        <v/>
      </c>
      <c r="J165" s="130" t="str">
        <f>IF($B164="","",IF($B164+1&gt;'Qredits maandlasten'!$C$4,"",IF(B164&lt;'Qredits maandlasten'!$C$11-1,0,IF('Qredits maandlasten'!$C$10=dropdowns!$A$93,'Qredits maandlasten'!$J$3,IF('Qredits maandlasten'!$C$10=dropdowns!$A$92,IFERROR('Qredits maandlasten'!$J$3-K165,0),0)))))</f>
        <v/>
      </c>
      <c r="K165" s="130" t="str">
        <f>IF($B164="","",IF($B164+1&gt;'Qredits maandlasten'!$C$4,"",G165*I165*'Qredits maandlasten'!$C$8))</f>
        <v/>
      </c>
      <c r="L165" s="130" t="str">
        <f t="shared" si="12"/>
        <v/>
      </c>
      <c r="M165" s="130" t="str">
        <f t="shared" si="10"/>
        <v/>
      </c>
      <c r="N165" s="129"/>
      <c r="O165" s="131" t="str">
        <f>IF($B165="","",'Qredits maandlasten'!$C$8)</f>
        <v/>
      </c>
      <c r="P165" s="131" t="str">
        <f>IF($B165="","",'Qredits maandlasten'!$C$8*(POWER(1+'Qredits maandlasten'!$C$8,$B165-1+1)))</f>
        <v/>
      </c>
      <c r="Q165" s="131" t="str">
        <f t="shared" si="13"/>
        <v/>
      </c>
      <c r="R165" s="129"/>
      <c r="S165" s="130" t="str">
        <f t="shared" si="11"/>
        <v/>
      </c>
      <c r="T165" s="130" t="str">
        <f>IF(S165="","",J165/(POWER(1+'Qredits maandlasten'!$C$8,$B165-1+1)))</f>
        <v/>
      </c>
      <c r="U165" s="132" t="str">
        <f t="shared" si="14"/>
        <v/>
      </c>
      <c r="V165" s="130" t="str">
        <f>IF($B165="","",K165/(POWER(1+'Qredits maandlasten'!$C$8,$B165-1+1)))</f>
        <v/>
      </c>
      <c r="W165" s="129"/>
    </row>
    <row r="166" spans="1:23" s="134" customFormat="1" x14ac:dyDescent="0.2">
      <c r="A166" s="125"/>
      <c r="B166" s="126" t="str">
        <f>IF($B165="","",IF($B165+1&gt;'Qredits maandlasten'!$C$4,"",Schema!B165+1))</f>
        <v/>
      </c>
      <c r="C166" s="127" t="str">
        <f>IF($B165="","",IF($B165+1&gt;'Qredits maandlasten'!$C$4,"",EOMONTH(C165,0)+1))</f>
        <v/>
      </c>
      <c r="D166" s="125"/>
      <c r="E166" s="127" t="str">
        <f>IF($B165="","",IF($B165+1&gt;'Qredits maandlasten'!$C$4,"",F165+1))</f>
        <v/>
      </c>
      <c r="F166" s="127" t="str">
        <f>IF($B165="","",IF($B165+1&gt;'Qredits maandlasten'!$C$4,"",EOMONTH(E166,0)))</f>
        <v/>
      </c>
      <c r="G166" s="128" t="str">
        <f>IF($B165="","",IF($B165+1&gt;'Qredits maandlasten'!$C$4,"",(_xlfn.DAYS(F166,E166)+1)/DAY(F166)))</f>
        <v/>
      </c>
      <c r="H166" s="129"/>
      <c r="I166" s="130" t="str">
        <f>IF($B165="","",IF($B165+1&gt;'Qredits maandlasten'!$C$4,"",I165-J165))</f>
        <v/>
      </c>
      <c r="J166" s="130" t="str">
        <f>IF($B165="","",IF($B165+1&gt;'Qredits maandlasten'!$C$4,"",IF(B165&lt;'Qredits maandlasten'!$C$11-1,0,IF('Qredits maandlasten'!$C$10=dropdowns!$A$93,'Qredits maandlasten'!$J$3,IF('Qredits maandlasten'!$C$10=dropdowns!$A$92,IFERROR('Qredits maandlasten'!$J$3-K166,0),0)))))</f>
        <v/>
      </c>
      <c r="K166" s="130" t="str">
        <f>IF($B165="","",IF($B165+1&gt;'Qredits maandlasten'!$C$4,"",G166*I166*'Qredits maandlasten'!$C$8))</f>
        <v/>
      </c>
      <c r="L166" s="130" t="str">
        <f t="shared" si="12"/>
        <v/>
      </c>
      <c r="M166" s="130" t="str">
        <f t="shared" si="10"/>
        <v/>
      </c>
      <c r="N166" s="129"/>
      <c r="O166" s="131" t="str">
        <f>IF($B166="","",'Qredits maandlasten'!$C$8)</f>
        <v/>
      </c>
      <c r="P166" s="131" t="str">
        <f>IF($B166="","",'Qredits maandlasten'!$C$8*(POWER(1+'Qredits maandlasten'!$C$8,$B166-1+1)))</f>
        <v/>
      </c>
      <c r="Q166" s="131" t="str">
        <f t="shared" si="13"/>
        <v/>
      </c>
      <c r="R166" s="129"/>
      <c r="S166" s="130" t="str">
        <f t="shared" si="11"/>
        <v/>
      </c>
      <c r="T166" s="130" t="str">
        <f>IF(S166="","",J166/(POWER(1+'Qredits maandlasten'!$C$8,$B166-1+1)))</f>
        <v/>
      </c>
      <c r="U166" s="132" t="str">
        <f t="shared" si="14"/>
        <v/>
      </c>
      <c r="V166" s="130" t="str">
        <f>IF($B166="","",K166/(POWER(1+'Qredits maandlasten'!$C$8,$B166-1+1)))</f>
        <v/>
      </c>
      <c r="W166" s="129"/>
    </row>
    <row r="167" spans="1:23" s="134" customFormat="1" x14ac:dyDescent="0.2">
      <c r="A167" s="125"/>
      <c r="B167" s="126" t="str">
        <f>IF($B166="","",IF($B166+1&gt;'Qredits maandlasten'!$C$4,"",Schema!B166+1))</f>
        <v/>
      </c>
      <c r="C167" s="127" t="str">
        <f>IF($B166="","",IF($B166+1&gt;'Qredits maandlasten'!$C$4,"",EOMONTH(C166,0)+1))</f>
        <v/>
      </c>
      <c r="D167" s="125"/>
      <c r="E167" s="127" t="str">
        <f>IF($B166="","",IF($B166+1&gt;'Qredits maandlasten'!$C$4,"",F166+1))</f>
        <v/>
      </c>
      <c r="F167" s="127" t="str">
        <f>IF($B166="","",IF($B166+1&gt;'Qredits maandlasten'!$C$4,"",EOMONTH(E167,0)))</f>
        <v/>
      </c>
      <c r="G167" s="128" t="str">
        <f>IF($B166="","",IF($B166+1&gt;'Qredits maandlasten'!$C$4,"",(_xlfn.DAYS(F167,E167)+1)/DAY(F167)))</f>
        <v/>
      </c>
      <c r="H167" s="129"/>
      <c r="I167" s="130" t="str">
        <f>IF($B166="","",IF($B166+1&gt;'Qredits maandlasten'!$C$4,"",I166-J166))</f>
        <v/>
      </c>
      <c r="J167" s="130" t="str">
        <f>IF($B166="","",IF($B166+1&gt;'Qredits maandlasten'!$C$4,"",IF(B166&lt;'Qredits maandlasten'!$C$11-1,0,IF('Qredits maandlasten'!$C$10=dropdowns!$A$93,'Qredits maandlasten'!$J$3,IF('Qredits maandlasten'!$C$10=dropdowns!$A$92,IFERROR('Qredits maandlasten'!$J$3-K167,0),0)))))</f>
        <v/>
      </c>
      <c r="K167" s="130" t="str">
        <f>IF($B166="","",IF($B166+1&gt;'Qredits maandlasten'!$C$4,"",G167*I167*'Qredits maandlasten'!$C$8))</f>
        <v/>
      </c>
      <c r="L167" s="130" t="str">
        <f t="shared" si="12"/>
        <v/>
      </c>
      <c r="M167" s="130" t="str">
        <f t="shared" si="10"/>
        <v/>
      </c>
      <c r="N167" s="129"/>
      <c r="O167" s="131" t="str">
        <f>IF($B167="","",'Qredits maandlasten'!$C$8)</f>
        <v/>
      </c>
      <c r="P167" s="131" t="str">
        <f>IF($B167="","",'Qredits maandlasten'!$C$8*(POWER(1+'Qredits maandlasten'!$C$8,$B167-1+1)))</f>
        <v/>
      </c>
      <c r="Q167" s="131" t="str">
        <f t="shared" si="13"/>
        <v/>
      </c>
      <c r="R167" s="129"/>
      <c r="S167" s="130" t="str">
        <f t="shared" si="11"/>
        <v/>
      </c>
      <c r="T167" s="130" t="str">
        <f>IF(S167="","",J167/(POWER(1+'Qredits maandlasten'!$C$8,$B167-1+1)))</f>
        <v/>
      </c>
      <c r="U167" s="132" t="str">
        <f t="shared" si="14"/>
        <v/>
      </c>
      <c r="V167" s="130" t="str">
        <f>IF($B167="","",K167/(POWER(1+'Qredits maandlasten'!$C$8,$B167-1+1)))</f>
        <v/>
      </c>
      <c r="W167" s="129"/>
    </row>
    <row r="168" spans="1:23" s="134" customFormat="1" x14ac:dyDescent="0.2">
      <c r="A168" s="125"/>
      <c r="B168" s="126" t="str">
        <f>IF($B167="","",IF($B167+1&gt;'Qredits maandlasten'!$C$4,"",Schema!B167+1))</f>
        <v/>
      </c>
      <c r="C168" s="127" t="str">
        <f>IF($B167="","",IF($B167+1&gt;'Qredits maandlasten'!$C$4,"",EOMONTH(C167,0)+1))</f>
        <v/>
      </c>
      <c r="D168" s="125"/>
      <c r="E168" s="127" t="str">
        <f>IF($B167="","",IF($B167+1&gt;'Qredits maandlasten'!$C$4,"",F167+1))</f>
        <v/>
      </c>
      <c r="F168" s="127" t="str">
        <f>IF($B167="","",IF($B167+1&gt;'Qredits maandlasten'!$C$4,"",EOMONTH(E168,0)))</f>
        <v/>
      </c>
      <c r="G168" s="128" t="str">
        <f>IF($B167="","",IF($B167+1&gt;'Qredits maandlasten'!$C$4,"",(_xlfn.DAYS(F168,E168)+1)/DAY(F168)))</f>
        <v/>
      </c>
      <c r="H168" s="129"/>
      <c r="I168" s="130" t="str">
        <f>IF($B167="","",IF($B167+1&gt;'Qredits maandlasten'!$C$4,"",I167-J167))</f>
        <v/>
      </c>
      <c r="J168" s="130" t="str">
        <f>IF($B167="","",IF($B167+1&gt;'Qredits maandlasten'!$C$4,"",IF(B167&lt;'Qredits maandlasten'!$C$11-1,0,IF('Qredits maandlasten'!$C$10=dropdowns!$A$93,'Qredits maandlasten'!$J$3,IF('Qredits maandlasten'!$C$10=dropdowns!$A$92,IFERROR('Qredits maandlasten'!$J$3-K168,0),0)))))</f>
        <v/>
      </c>
      <c r="K168" s="130" t="str">
        <f>IF($B167="","",IF($B167+1&gt;'Qredits maandlasten'!$C$4,"",G168*I168*'Qredits maandlasten'!$C$8))</f>
        <v/>
      </c>
      <c r="L168" s="130" t="str">
        <f t="shared" si="12"/>
        <v/>
      </c>
      <c r="M168" s="130" t="str">
        <f t="shared" si="10"/>
        <v/>
      </c>
      <c r="N168" s="129"/>
      <c r="O168" s="131" t="str">
        <f>IF($B168="","",'Qredits maandlasten'!$C$8)</f>
        <v/>
      </c>
      <c r="P168" s="131" t="str">
        <f>IF($B168="","",'Qredits maandlasten'!$C$8*(POWER(1+'Qredits maandlasten'!$C$8,$B168-1+1)))</f>
        <v/>
      </c>
      <c r="Q168" s="131" t="str">
        <f t="shared" si="13"/>
        <v/>
      </c>
      <c r="R168" s="129"/>
      <c r="S168" s="130" t="str">
        <f t="shared" si="11"/>
        <v/>
      </c>
      <c r="T168" s="130" t="str">
        <f>IF(S168="","",J168/(POWER(1+'Qredits maandlasten'!$C$8,$B168-1+1)))</f>
        <v/>
      </c>
      <c r="U168" s="132" t="str">
        <f t="shared" si="14"/>
        <v/>
      </c>
      <c r="V168" s="130" t="str">
        <f>IF($B168="","",K168/(POWER(1+'Qredits maandlasten'!$C$8,$B168-1+1)))</f>
        <v/>
      </c>
      <c r="W168" s="129"/>
    </row>
    <row r="169" spans="1:23" s="134" customFormat="1" x14ac:dyDescent="0.2">
      <c r="A169" s="125"/>
      <c r="B169" s="126" t="str">
        <f>IF($B168="","",IF($B168+1&gt;'Qredits maandlasten'!$C$4,"",Schema!B168+1))</f>
        <v/>
      </c>
      <c r="C169" s="127" t="str">
        <f>IF($B168="","",IF($B168+1&gt;'Qredits maandlasten'!$C$4,"",EOMONTH(C168,0)+1))</f>
        <v/>
      </c>
      <c r="D169" s="125"/>
      <c r="E169" s="127" t="str">
        <f>IF($B168="","",IF($B168+1&gt;'Qredits maandlasten'!$C$4,"",F168+1))</f>
        <v/>
      </c>
      <c r="F169" s="127" t="str">
        <f>IF($B168="","",IF($B168+1&gt;'Qredits maandlasten'!$C$4,"",EOMONTH(E169,0)))</f>
        <v/>
      </c>
      <c r="G169" s="128" t="str">
        <f>IF($B168="","",IF($B168+1&gt;'Qredits maandlasten'!$C$4,"",(_xlfn.DAYS(F169,E169)+1)/DAY(F169)))</f>
        <v/>
      </c>
      <c r="H169" s="129"/>
      <c r="I169" s="130" t="str">
        <f>IF($B168="","",IF($B168+1&gt;'Qredits maandlasten'!$C$4,"",I168-J168))</f>
        <v/>
      </c>
      <c r="J169" s="130" t="str">
        <f>IF($B168="","",IF($B168+1&gt;'Qredits maandlasten'!$C$4,"",IF(B168&lt;'Qredits maandlasten'!$C$11-1,0,IF('Qredits maandlasten'!$C$10=dropdowns!$A$93,'Qredits maandlasten'!$J$3,IF('Qredits maandlasten'!$C$10=dropdowns!$A$92,IFERROR('Qredits maandlasten'!$J$3-K169,0),0)))))</f>
        <v/>
      </c>
      <c r="K169" s="130" t="str">
        <f>IF($B168="","",IF($B168+1&gt;'Qredits maandlasten'!$C$4,"",G169*I169*'Qredits maandlasten'!$C$8))</f>
        <v/>
      </c>
      <c r="L169" s="130" t="str">
        <f t="shared" si="12"/>
        <v/>
      </c>
      <c r="M169" s="130" t="str">
        <f t="shared" si="10"/>
        <v/>
      </c>
      <c r="N169" s="129"/>
      <c r="O169" s="131" t="str">
        <f>IF($B169="","",'Qredits maandlasten'!$C$8)</f>
        <v/>
      </c>
      <c r="P169" s="131" t="str">
        <f>IF($B169="","",'Qredits maandlasten'!$C$8*(POWER(1+'Qredits maandlasten'!$C$8,$B169-1+1)))</f>
        <v/>
      </c>
      <c r="Q169" s="131" t="str">
        <f t="shared" si="13"/>
        <v/>
      </c>
      <c r="R169" s="129"/>
      <c r="S169" s="130" t="str">
        <f t="shared" si="11"/>
        <v/>
      </c>
      <c r="T169" s="130" t="str">
        <f>IF(S169="","",J169/(POWER(1+'Qredits maandlasten'!$C$8,$B169-1+1)))</f>
        <v/>
      </c>
      <c r="U169" s="132" t="str">
        <f t="shared" si="14"/>
        <v/>
      </c>
      <c r="V169" s="130" t="str">
        <f>IF($B169="","",K169/(POWER(1+'Qredits maandlasten'!$C$8,$B169-1+1)))</f>
        <v/>
      </c>
      <c r="W169" s="129"/>
    </row>
    <row r="170" spans="1:23" s="134" customFormat="1" x14ac:dyDescent="0.2">
      <c r="A170" s="125"/>
      <c r="B170" s="126" t="str">
        <f>IF($B169="","",IF($B169+1&gt;'Qredits maandlasten'!$C$4,"",Schema!B169+1))</f>
        <v/>
      </c>
      <c r="C170" s="127" t="str">
        <f>IF($B169="","",IF($B169+1&gt;'Qredits maandlasten'!$C$4,"",EOMONTH(C169,0)+1))</f>
        <v/>
      </c>
      <c r="D170" s="125"/>
      <c r="E170" s="127" t="str">
        <f>IF($B169="","",IF($B169+1&gt;'Qredits maandlasten'!$C$4,"",F169+1))</f>
        <v/>
      </c>
      <c r="F170" s="127" t="str">
        <f>IF($B169="","",IF($B169+1&gt;'Qredits maandlasten'!$C$4,"",EOMONTH(E170,0)))</f>
        <v/>
      </c>
      <c r="G170" s="128" t="str">
        <f>IF($B169="","",IF($B169+1&gt;'Qredits maandlasten'!$C$4,"",(_xlfn.DAYS(F170,E170)+1)/DAY(F170)))</f>
        <v/>
      </c>
      <c r="H170" s="129"/>
      <c r="I170" s="130" t="str">
        <f>IF($B169="","",IF($B169+1&gt;'Qredits maandlasten'!$C$4,"",I169-J169))</f>
        <v/>
      </c>
      <c r="J170" s="130" t="str">
        <f>IF($B169="","",IF($B169+1&gt;'Qredits maandlasten'!$C$4,"",IF(B169&lt;'Qredits maandlasten'!$C$11-1,0,IF('Qredits maandlasten'!$C$10=dropdowns!$A$93,'Qredits maandlasten'!$J$3,IF('Qredits maandlasten'!$C$10=dropdowns!$A$92,IFERROR('Qredits maandlasten'!$J$3-K170,0),0)))))</f>
        <v/>
      </c>
      <c r="K170" s="130" t="str">
        <f>IF($B169="","",IF($B169+1&gt;'Qredits maandlasten'!$C$4,"",G170*I170*'Qredits maandlasten'!$C$8))</f>
        <v/>
      </c>
      <c r="L170" s="130" t="str">
        <f t="shared" si="12"/>
        <v/>
      </c>
      <c r="M170" s="130" t="str">
        <f t="shared" si="10"/>
        <v/>
      </c>
      <c r="N170" s="129"/>
      <c r="O170" s="131" t="str">
        <f>IF($B170="","",'Qredits maandlasten'!$C$8)</f>
        <v/>
      </c>
      <c r="P170" s="131" t="str">
        <f>IF($B170="","",'Qredits maandlasten'!$C$8*(POWER(1+'Qredits maandlasten'!$C$8,$B170-1+1)))</f>
        <v/>
      </c>
      <c r="Q170" s="131" t="str">
        <f t="shared" si="13"/>
        <v/>
      </c>
      <c r="R170" s="129"/>
      <c r="S170" s="130" t="str">
        <f t="shared" si="11"/>
        <v/>
      </c>
      <c r="T170" s="130" t="str">
        <f>IF(S170="","",J170/(POWER(1+'Qredits maandlasten'!$C$8,$B170-1+1)))</f>
        <v/>
      </c>
      <c r="U170" s="132" t="str">
        <f t="shared" si="14"/>
        <v/>
      </c>
      <c r="V170" s="130" t="str">
        <f>IF($B170="","",K170/(POWER(1+'Qredits maandlasten'!$C$8,$B170-1+1)))</f>
        <v/>
      </c>
      <c r="W170" s="129"/>
    </row>
    <row r="171" spans="1:23" s="134" customFormat="1" x14ac:dyDescent="0.2">
      <c r="A171" s="125"/>
      <c r="B171" s="126" t="str">
        <f>IF($B170="","",IF($B170+1&gt;'Qredits maandlasten'!$C$4,"",Schema!B170+1))</f>
        <v/>
      </c>
      <c r="C171" s="127" t="str">
        <f>IF($B170="","",IF($B170+1&gt;'Qredits maandlasten'!$C$4,"",EOMONTH(C170,0)+1))</f>
        <v/>
      </c>
      <c r="D171" s="125"/>
      <c r="E171" s="127" t="str">
        <f>IF($B170="","",IF($B170+1&gt;'Qredits maandlasten'!$C$4,"",F170+1))</f>
        <v/>
      </c>
      <c r="F171" s="127" t="str">
        <f>IF($B170="","",IF($B170+1&gt;'Qredits maandlasten'!$C$4,"",EOMONTH(E171,0)))</f>
        <v/>
      </c>
      <c r="G171" s="128" t="str">
        <f>IF($B170="","",IF($B170+1&gt;'Qredits maandlasten'!$C$4,"",(_xlfn.DAYS(F171,E171)+1)/DAY(F171)))</f>
        <v/>
      </c>
      <c r="H171" s="129"/>
      <c r="I171" s="130" t="str">
        <f>IF($B170="","",IF($B170+1&gt;'Qredits maandlasten'!$C$4,"",I170-J170))</f>
        <v/>
      </c>
      <c r="J171" s="130" t="str">
        <f>IF($B170="","",IF($B170+1&gt;'Qredits maandlasten'!$C$4,"",IF(B170&lt;'Qredits maandlasten'!$C$11-1,0,IF('Qredits maandlasten'!$C$10=dropdowns!$A$93,'Qredits maandlasten'!$J$3,IF('Qredits maandlasten'!$C$10=dropdowns!$A$92,IFERROR('Qredits maandlasten'!$J$3-K171,0),0)))))</f>
        <v/>
      </c>
      <c r="K171" s="130" t="str">
        <f>IF($B170="","",IF($B170+1&gt;'Qredits maandlasten'!$C$4,"",G171*I171*'Qredits maandlasten'!$C$8))</f>
        <v/>
      </c>
      <c r="L171" s="130" t="str">
        <f t="shared" si="12"/>
        <v/>
      </c>
      <c r="M171" s="130" t="str">
        <f t="shared" si="10"/>
        <v/>
      </c>
      <c r="N171" s="129"/>
      <c r="O171" s="131" t="str">
        <f>IF($B171="","",'Qredits maandlasten'!$C$8)</f>
        <v/>
      </c>
      <c r="P171" s="131" t="str">
        <f>IF($B171="","",'Qredits maandlasten'!$C$8*(POWER(1+'Qredits maandlasten'!$C$8,$B171-1+1)))</f>
        <v/>
      </c>
      <c r="Q171" s="131" t="str">
        <f t="shared" si="13"/>
        <v/>
      </c>
      <c r="R171" s="129"/>
      <c r="S171" s="130" t="str">
        <f t="shared" si="11"/>
        <v/>
      </c>
      <c r="T171" s="130" t="str">
        <f>IF(S171="","",J171/(POWER(1+'Qredits maandlasten'!$C$8,$B171-1+1)))</f>
        <v/>
      </c>
      <c r="U171" s="132" t="str">
        <f t="shared" si="14"/>
        <v/>
      </c>
      <c r="V171" s="130" t="str">
        <f>IF($B171="","",K171/(POWER(1+'Qredits maandlasten'!$C$8,$B171-1+1)))</f>
        <v/>
      </c>
      <c r="W171" s="129"/>
    </row>
    <row r="172" spans="1:23" s="134" customFormat="1" x14ac:dyDescent="0.2">
      <c r="A172" s="125"/>
      <c r="B172" s="126" t="str">
        <f>IF($B171="","",IF($B171+1&gt;'Qredits maandlasten'!$C$4,"",Schema!B171+1))</f>
        <v/>
      </c>
      <c r="C172" s="127" t="str">
        <f>IF($B171="","",IF($B171+1&gt;'Qredits maandlasten'!$C$4,"",EOMONTH(C171,0)+1))</f>
        <v/>
      </c>
      <c r="D172" s="125"/>
      <c r="E172" s="127" t="str">
        <f>IF($B171="","",IF($B171+1&gt;'Qredits maandlasten'!$C$4,"",F171+1))</f>
        <v/>
      </c>
      <c r="F172" s="127" t="str">
        <f>IF($B171="","",IF($B171+1&gt;'Qredits maandlasten'!$C$4,"",EOMONTH(E172,0)))</f>
        <v/>
      </c>
      <c r="G172" s="128" t="str">
        <f>IF($B171="","",IF($B171+1&gt;'Qredits maandlasten'!$C$4,"",(_xlfn.DAYS(F172,E172)+1)/DAY(F172)))</f>
        <v/>
      </c>
      <c r="H172" s="129"/>
      <c r="I172" s="130" t="str">
        <f>IF($B171="","",IF($B171+1&gt;'Qredits maandlasten'!$C$4,"",I171-J171))</f>
        <v/>
      </c>
      <c r="J172" s="130" t="str">
        <f>IF($B171="","",IF($B171+1&gt;'Qredits maandlasten'!$C$4,"",IF(B171&lt;'Qredits maandlasten'!$C$11-1,0,IF('Qredits maandlasten'!$C$10=dropdowns!$A$93,'Qredits maandlasten'!$J$3,IF('Qredits maandlasten'!$C$10=dropdowns!$A$92,IFERROR('Qredits maandlasten'!$J$3-K172,0),0)))))</f>
        <v/>
      </c>
      <c r="K172" s="130" t="str">
        <f>IF($B171="","",IF($B171+1&gt;'Qredits maandlasten'!$C$4,"",G172*I172*'Qredits maandlasten'!$C$8))</f>
        <v/>
      </c>
      <c r="L172" s="130" t="str">
        <f t="shared" si="12"/>
        <v/>
      </c>
      <c r="M172" s="130" t="str">
        <f t="shared" si="10"/>
        <v/>
      </c>
      <c r="N172" s="129"/>
      <c r="O172" s="131" t="str">
        <f>IF($B172="","",'Qredits maandlasten'!$C$8)</f>
        <v/>
      </c>
      <c r="P172" s="131" t="str">
        <f>IF($B172="","",'Qredits maandlasten'!$C$8*(POWER(1+'Qredits maandlasten'!$C$8,$B172-1+1)))</f>
        <v/>
      </c>
      <c r="Q172" s="131" t="str">
        <f t="shared" si="13"/>
        <v/>
      </c>
      <c r="R172" s="129"/>
      <c r="S172" s="130" t="str">
        <f t="shared" si="11"/>
        <v/>
      </c>
      <c r="T172" s="130" t="str">
        <f>IF(S172="","",J172/(POWER(1+'Qredits maandlasten'!$C$8,$B172-1+1)))</f>
        <v/>
      </c>
      <c r="U172" s="132" t="str">
        <f t="shared" si="14"/>
        <v/>
      </c>
      <c r="V172" s="130" t="str">
        <f>IF($B172="","",K172/(POWER(1+'Qredits maandlasten'!$C$8,$B172-1+1)))</f>
        <v/>
      </c>
      <c r="W172" s="129"/>
    </row>
    <row r="173" spans="1:23" s="134" customFormat="1" x14ac:dyDescent="0.2">
      <c r="A173" s="125"/>
      <c r="B173" s="126" t="str">
        <f>IF($B172="","",IF($B172+1&gt;'Qredits maandlasten'!$C$4,"",Schema!B172+1))</f>
        <v/>
      </c>
      <c r="C173" s="127" t="str">
        <f>IF($B172="","",IF($B172+1&gt;'Qredits maandlasten'!$C$4,"",EOMONTH(C172,0)+1))</f>
        <v/>
      </c>
      <c r="D173" s="125"/>
      <c r="E173" s="127" t="str">
        <f>IF($B172="","",IF($B172+1&gt;'Qredits maandlasten'!$C$4,"",F172+1))</f>
        <v/>
      </c>
      <c r="F173" s="127" t="str">
        <f>IF($B172="","",IF($B172+1&gt;'Qredits maandlasten'!$C$4,"",EOMONTH(E173,0)))</f>
        <v/>
      </c>
      <c r="G173" s="128" t="str">
        <f>IF($B172="","",IF($B172+1&gt;'Qredits maandlasten'!$C$4,"",(_xlfn.DAYS(F173,E173)+1)/DAY(F173)))</f>
        <v/>
      </c>
      <c r="H173" s="129"/>
      <c r="I173" s="130" t="str">
        <f>IF($B172="","",IF($B172+1&gt;'Qredits maandlasten'!$C$4,"",I172-J172))</f>
        <v/>
      </c>
      <c r="J173" s="130" t="str">
        <f>IF($B172="","",IF($B172+1&gt;'Qredits maandlasten'!$C$4,"",IF(B172&lt;'Qredits maandlasten'!$C$11-1,0,IF('Qredits maandlasten'!$C$10=dropdowns!$A$93,'Qredits maandlasten'!$J$3,IF('Qredits maandlasten'!$C$10=dropdowns!$A$92,IFERROR('Qredits maandlasten'!$J$3-K173,0),0)))))</f>
        <v/>
      </c>
      <c r="K173" s="130" t="str">
        <f>IF($B172="","",IF($B172+1&gt;'Qredits maandlasten'!$C$4,"",G173*I173*'Qredits maandlasten'!$C$8))</f>
        <v/>
      </c>
      <c r="L173" s="130" t="str">
        <f t="shared" si="12"/>
        <v/>
      </c>
      <c r="M173" s="130" t="str">
        <f t="shared" si="10"/>
        <v/>
      </c>
      <c r="N173" s="129"/>
      <c r="O173" s="131" t="str">
        <f>IF($B173="","",'Qredits maandlasten'!$C$8)</f>
        <v/>
      </c>
      <c r="P173" s="131" t="str">
        <f>IF($B173="","",'Qredits maandlasten'!$C$8*(POWER(1+'Qredits maandlasten'!$C$8,$B173-1+1)))</f>
        <v/>
      </c>
      <c r="Q173" s="131" t="str">
        <f t="shared" si="13"/>
        <v/>
      </c>
      <c r="R173" s="129"/>
      <c r="S173" s="130" t="str">
        <f t="shared" si="11"/>
        <v/>
      </c>
      <c r="T173" s="130" t="str">
        <f>IF(S173="","",J173/(POWER(1+'Qredits maandlasten'!$C$8,$B173-1+1)))</f>
        <v/>
      </c>
      <c r="U173" s="132" t="str">
        <f t="shared" si="14"/>
        <v/>
      </c>
      <c r="V173" s="130" t="str">
        <f>IF($B173="","",K173/(POWER(1+'Qredits maandlasten'!$C$8,$B173-1+1)))</f>
        <v/>
      </c>
      <c r="W173" s="129"/>
    </row>
    <row r="174" spans="1:23" s="134" customFormat="1" x14ac:dyDescent="0.2">
      <c r="A174" s="125"/>
      <c r="B174" s="126" t="str">
        <f>IF($B173="","",IF($B173+1&gt;'Qredits maandlasten'!$C$4,"",Schema!B173+1))</f>
        <v/>
      </c>
      <c r="C174" s="127" t="str">
        <f>IF($B173="","",IF($B173+1&gt;'Qredits maandlasten'!$C$4,"",EOMONTH(C173,0)+1))</f>
        <v/>
      </c>
      <c r="D174" s="125"/>
      <c r="E174" s="127" t="str">
        <f>IF($B173="","",IF($B173+1&gt;'Qredits maandlasten'!$C$4,"",F173+1))</f>
        <v/>
      </c>
      <c r="F174" s="127" t="str">
        <f>IF($B173="","",IF($B173+1&gt;'Qredits maandlasten'!$C$4,"",EOMONTH(E174,0)))</f>
        <v/>
      </c>
      <c r="G174" s="128" t="str">
        <f>IF($B173="","",IF($B173+1&gt;'Qredits maandlasten'!$C$4,"",(_xlfn.DAYS(F174,E174)+1)/DAY(F174)))</f>
        <v/>
      </c>
      <c r="H174" s="129"/>
      <c r="I174" s="130" t="str">
        <f>IF($B173="","",IF($B173+1&gt;'Qredits maandlasten'!$C$4,"",I173-J173))</f>
        <v/>
      </c>
      <c r="J174" s="130" t="str">
        <f>IF($B173="","",IF($B173+1&gt;'Qredits maandlasten'!$C$4,"",IF(B173&lt;'Qredits maandlasten'!$C$11-1,0,IF('Qredits maandlasten'!$C$10=dropdowns!$A$93,'Qredits maandlasten'!$J$3,IF('Qredits maandlasten'!$C$10=dropdowns!$A$92,IFERROR('Qredits maandlasten'!$J$3-K174,0),0)))))</f>
        <v/>
      </c>
      <c r="K174" s="130" t="str">
        <f>IF($B173="","",IF($B173+1&gt;'Qredits maandlasten'!$C$4,"",G174*I174*'Qredits maandlasten'!$C$8))</f>
        <v/>
      </c>
      <c r="L174" s="130" t="str">
        <f t="shared" si="12"/>
        <v/>
      </c>
      <c r="M174" s="130" t="str">
        <f t="shared" si="10"/>
        <v/>
      </c>
      <c r="N174" s="129"/>
      <c r="O174" s="131" t="str">
        <f>IF($B174="","",'Qredits maandlasten'!$C$8)</f>
        <v/>
      </c>
      <c r="P174" s="131" t="str">
        <f>IF($B174="","",'Qredits maandlasten'!$C$8*(POWER(1+'Qredits maandlasten'!$C$8,$B174-1+1)))</f>
        <v/>
      </c>
      <c r="Q174" s="131" t="str">
        <f t="shared" si="13"/>
        <v/>
      </c>
      <c r="R174" s="129"/>
      <c r="S174" s="130" t="str">
        <f t="shared" si="11"/>
        <v/>
      </c>
      <c r="T174" s="130" t="str">
        <f>IF(S174="","",J174/(POWER(1+'Qredits maandlasten'!$C$8,$B174-1+1)))</f>
        <v/>
      </c>
      <c r="U174" s="132" t="str">
        <f t="shared" si="14"/>
        <v/>
      </c>
      <c r="V174" s="130" t="str">
        <f>IF($B174="","",K174/(POWER(1+'Qredits maandlasten'!$C$8,$B174-1+1)))</f>
        <v/>
      </c>
      <c r="W174" s="129"/>
    </row>
    <row r="175" spans="1:23" s="134" customFormat="1" x14ac:dyDescent="0.2">
      <c r="A175" s="125"/>
      <c r="B175" s="126" t="str">
        <f>IF($B174="","",IF($B174+1&gt;'Qredits maandlasten'!$C$4,"",Schema!B174+1))</f>
        <v/>
      </c>
      <c r="C175" s="127" t="str">
        <f>IF($B174="","",IF($B174+1&gt;'Qredits maandlasten'!$C$4,"",EOMONTH(C174,0)+1))</f>
        <v/>
      </c>
      <c r="D175" s="125"/>
      <c r="E175" s="127" t="str">
        <f>IF($B174="","",IF($B174+1&gt;'Qredits maandlasten'!$C$4,"",F174+1))</f>
        <v/>
      </c>
      <c r="F175" s="127" t="str">
        <f>IF($B174="","",IF($B174+1&gt;'Qredits maandlasten'!$C$4,"",EOMONTH(E175,0)))</f>
        <v/>
      </c>
      <c r="G175" s="128" t="str">
        <f>IF($B174="","",IF($B174+1&gt;'Qredits maandlasten'!$C$4,"",(_xlfn.DAYS(F175,E175)+1)/DAY(F175)))</f>
        <v/>
      </c>
      <c r="H175" s="129"/>
      <c r="I175" s="130" t="str">
        <f>IF($B174="","",IF($B174+1&gt;'Qredits maandlasten'!$C$4,"",I174-J174))</f>
        <v/>
      </c>
      <c r="J175" s="130" t="str">
        <f>IF($B174="","",IF($B174+1&gt;'Qredits maandlasten'!$C$4,"",IF(B174&lt;'Qredits maandlasten'!$C$11-1,0,IF('Qredits maandlasten'!$C$10=dropdowns!$A$93,'Qredits maandlasten'!$J$3,IF('Qredits maandlasten'!$C$10=dropdowns!$A$92,IFERROR('Qredits maandlasten'!$J$3-K175,0),0)))))</f>
        <v/>
      </c>
      <c r="K175" s="130" t="str">
        <f>IF($B174="","",IF($B174+1&gt;'Qredits maandlasten'!$C$4,"",G175*I175*'Qredits maandlasten'!$C$8))</f>
        <v/>
      </c>
      <c r="L175" s="130" t="str">
        <f t="shared" si="12"/>
        <v/>
      </c>
      <c r="M175" s="130" t="str">
        <f t="shared" si="10"/>
        <v/>
      </c>
      <c r="N175" s="129"/>
      <c r="O175" s="131" t="str">
        <f>IF($B175="","",'Qredits maandlasten'!$C$8)</f>
        <v/>
      </c>
      <c r="P175" s="131" t="str">
        <f>IF($B175="","",'Qredits maandlasten'!$C$8*(POWER(1+'Qredits maandlasten'!$C$8,$B175-1+1)))</f>
        <v/>
      </c>
      <c r="Q175" s="131" t="str">
        <f t="shared" si="13"/>
        <v/>
      </c>
      <c r="R175" s="129"/>
      <c r="S175" s="130" t="str">
        <f t="shared" si="11"/>
        <v/>
      </c>
      <c r="T175" s="130" t="str">
        <f>IF(S175="","",J175/(POWER(1+'Qredits maandlasten'!$C$8,$B175-1+1)))</f>
        <v/>
      </c>
      <c r="U175" s="132" t="str">
        <f t="shared" si="14"/>
        <v/>
      </c>
      <c r="V175" s="130" t="str">
        <f>IF($B175="","",K175/(POWER(1+'Qredits maandlasten'!$C$8,$B175-1+1)))</f>
        <v/>
      </c>
      <c r="W175" s="129"/>
    </row>
    <row r="176" spans="1:23" s="134" customFormat="1" x14ac:dyDescent="0.2">
      <c r="A176" s="125"/>
      <c r="B176" s="126" t="str">
        <f>IF($B175="","",IF($B175+1&gt;'Qredits maandlasten'!$C$4,"",Schema!B175+1))</f>
        <v/>
      </c>
      <c r="C176" s="127" t="str">
        <f>IF($B175="","",IF($B175+1&gt;'Qredits maandlasten'!$C$4,"",EOMONTH(C175,0)+1))</f>
        <v/>
      </c>
      <c r="D176" s="125"/>
      <c r="E176" s="127" t="str">
        <f>IF($B175="","",IF($B175+1&gt;'Qredits maandlasten'!$C$4,"",F175+1))</f>
        <v/>
      </c>
      <c r="F176" s="127" t="str">
        <f>IF($B175="","",IF($B175+1&gt;'Qredits maandlasten'!$C$4,"",EOMONTH(E176,0)))</f>
        <v/>
      </c>
      <c r="G176" s="128" t="str">
        <f>IF($B175="","",IF($B175+1&gt;'Qredits maandlasten'!$C$4,"",(_xlfn.DAYS(F176,E176)+1)/DAY(F176)))</f>
        <v/>
      </c>
      <c r="H176" s="129"/>
      <c r="I176" s="130" t="str">
        <f>IF($B175="","",IF($B175+1&gt;'Qredits maandlasten'!$C$4,"",I175-J175))</f>
        <v/>
      </c>
      <c r="J176" s="130" t="str">
        <f>IF($B175="","",IF($B175+1&gt;'Qredits maandlasten'!$C$4,"",IF(B175&lt;'Qredits maandlasten'!$C$11-1,0,IF('Qredits maandlasten'!$C$10=dropdowns!$A$93,'Qredits maandlasten'!$J$3,IF('Qredits maandlasten'!$C$10=dropdowns!$A$92,IFERROR('Qredits maandlasten'!$J$3-K176,0),0)))))</f>
        <v/>
      </c>
      <c r="K176" s="130" t="str">
        <f>IF($B175="","",IF($B175+1&gt;'Qredits maandlasten'!$C$4,"",G176*I176*'Qredits maandlasten'!$C$8))</f>
        <v/>
      </c>
      <c r="L176" s="130" t="str">
        <f t="shared" si="12"/>
        <v/>
      </c>
      <c r="M176" s="130" t="str">
        <f t="shared" si="10"/>
        <v/>
      </c>
      <c r="N176" s="129"/>
      <c r="O176" s="131" t="str">
        <f>IF($B176="","",'Qredits maandlasten'!$C$8)</f>
        <v/>
      </c>
      <c r="P176" s="131" t="str">
        <f>IF($B176="","",'Qredits maandlasten'!$C$8*(POWER(1+'Qredits maandlasten'!$C$8,$B176-1+1)))</f>
        <v/>
      </c>
      <c r="Q176" s="131" t="str">
        <f t="shared" si="13"/>
        <v/>
      </c>
      <c r="R176" s="129"/>
      <c r="S176" s="130" t="str">
        <f t="shared" si="11"/>
        <v/>
      </c>
      <c r="T176" s="130" t="str">
        <f>IF(S176="","",J176/(POWER(1+'Qredits maandlasten'!$C$8,$B176-1+1)))</f>
        <v/>
      </c>
      <c r="U176" s="132" t="str">
        <f t="shared" si="14"/>
        <v/>
      </c>
      <c r="V176" s="130" t="str">
        <f>IF($B176="","",K176/(POWER(1+'Qredits maandlasten'!$C$8,$B176-1+1)))</f>
        <v/>
      </c>
      <c r="W176" s="129"/>
    </row>
    <row r="177" spans="1:23" s="134" customFormat="1" x14ac:dyDescent="0.2">
      <c r="A177" s="125"/>
      <c r="B177" s="126" t="str">
        <f>IF($B176="","",IF($B176+1&gt;'Qredits maandlasten'!$C$4,"",Schema!B176+1))</f>
        <v/>
      </c>
      <c r="C177" s="127" t="str">
        <f>IF($B176="","",IF($B176+1&gt;'Qredits maandlasten'!$C$4,"",EOMONTH(C176,0)+1))</f>
        <v/>
      </c>
      <c r="D177" s="125"/>
      <c r="E177" s="127" t="str">
        <f>IF($B176="","",IF($B176+1&gt;'Qredits maandlasten'!$C$4,"",F176+1))</f>
        <v/>
      </c>
      <c r="F177" s="127" t="str">
        <f>IF($B176="","",IF($B176+1&gt;'Qredits maandlasten'!$C$4,"",EOMONTH(E177,0)))</f>
        <v/>
      </c>
      <c r="G177" s="128" t="str">
        <f>IF($B176="","",IF($B176+1&gt;'Qredits maandlasten'!$C$4,"",(_xlfn.DAYS(F177,E177)+1)/DAY(F177)))</f>
        <v/>
      </c>
      <c r="H177" s="129"/>
      <c r="I177" s="130" t="str">
        <f>IF($B176="","",IF($B176+1&gt;'Qredits maandlasten'!$C$4,"",I176-J176))</f>
        <v/>
      </c>
      <c r="J177" s="130" t="str">
        <f>IF($B176="","",IF($B176+1&gt;'Qredits maandlasten'!$C$4,"",IF(B176&lt;'Qredits maandlasten'!$C$11-1,0,IF('Qredits maandlasten'!$C$10=dropdowns!$A$93,'Qredits maandlasten'!$J$3,IF('Qredits maandlasten'!$C$10=dropdowns!$A$92,IFERROR('Qredits maandlasten'!$J$3-K177,0),0)))))</f>
        <v/>
      </c>
      <c r="K177" s="130" t="str">
        <f>IF($B176="","",IF($B176+1&gt;'Qredits maandlasten'!$C$4,"",G177*I177*'Qredits maandlasten'!$C$8))</f>
        <v/>
      </c>
      <c r="L177" s="130" t="str">
        <f t="shared" si="12"/>
        <v/>
      </c>
      <c r="M177" s="130" t="str">
        <f t="shared" si="10"/>
        <v/>
      </c>
      <c r="N177" s="129"/>
      <c r="O177" s="131" t="str">
        <f>IF($B177="","",'Qredits maandlasten'!$C$8)</f>
        <v/>
      </c>
      <c r="P177" s="131" t="str">
        <f>IF($B177="","",'Qredits maandlasten'!$C$8*(POWER(1+'Qredits maandlasten'!$C$8,$B177-1+1)))</f>
        <v/>
      </c>
      <c r="Q177" s="131" t="str">
        <f t="shared" si="13"/>
        <v/>
      </c>
      <c r="R177" s="129"/>
      <c r="S177" s="130" t="str">
        <f t="shared" si="11"/>
        <v/>
      </c>
      <c r="T177" s="130" t="str">
        <f>IF(S177="","",J177/(POWER(1+'Qredits maandlasten'!$C$8,$B177-1+1)))</f>
        <v/>
      </c>
      <c r="U177" s="132" t="str">
        <f t="shared" si="14"/>
        <v/>
      </c>
      <c r="V177" s="130" t="str">
        <f>IF($B177="","",K177/(POWER(1+'Qredits maandlasten'!$C$8,$B177-1+1)))</f>
        <v/>
      </c>
      <c r="W177" s="129"/>
    </row>
    <row r="178" spans="1:23" s="134" customFormat="1" x14ac:dyDescent="0.2">
      <c r="A178" s="125"/>
      <c r="B178" s="126" t="str">
        <f>IF($B177="","",IF($B177+1&gt;'Qredits maandlasten'!$C$4,"",Schema!B177+1))</f>
        <v/>
      </c>
      <c r="C178" s="127" t="str">
        <f>IF($B177="","",IF($B177+1&gt;'Qredits maandlasten'!$C$4,"",EOMONTH(C177,0)+1))</f>
        <v/>
      </c>
      <c r="D178" s="125"/>
      <c r="E178" s="127" t="str">
        <f>IF($B177="","",IF($B177+1&gt;'Qredits maandlasten'!$C$4,"",F177+1))</f>
        <v/>
      </c>
      <c r="F178" s="127" t="str">
        <f>IF($B177="","",IF($B177+1&gt;'Qredits maandlasten'!$C$4,"",EOMONTH(E178,0)))</f>
        <v/>
      </c>
      <c r="G178" s="128" t="str">
        <f>IF($B177="","",IF($B177+1&gt;'Qredits maandlasten'!$C$4,"",(_xlfn.DAYS(F178,E178)+1)/DAY(F178)))</f>
        <v/>
      </c>
      <c r="H178" s="129"/>
      <c r="I178" s="130" t="str">
        <f>IF($B177="","",IF($B177+1&gt;'Qredits maandlasten'!$C$4,"",I177-J177))</f>
        <v/>
      </c>
      <c r="J178" s="130" t="str">
        <f>IF($B177="","",IF($B177+1&gt;'Qredits maandlasten'!$C$4,"",IF(B177&lt;'Qredits maandlasten'!$C$11-1,0,IF('Qredits maandlasten'!$C$10=dropdowns!$A$93,'Qredits maandlasten'!$J$3,IF('Qredits maandlasten'!$C$10=dropdowns!$A$92,IFERROR('Qredits maandlasten'!$J$3-K178,0),0)))))</f>
        <v/>
      </c>
      <c r="K178" s="130" t="str">
        <f>IF($B177="","",IF($B177+1&gt;'Qredits maandlasten'!$C$4,"",G178*I178*'Qredits maandlasten'!$C$8))</f>
        <v/>
      </c>
      <c r="L178" s="130" t="str">
        <f t="shared" si="12"/>
        <v/>
      </c>
      <c r="M178" s="130" t="str">
        <f t="shared" si="10"/>
        <v/>
      </c>
      <c r="N178" s="129"/>
      <c r="O178" s="131" t="str">
        <f>IF($B178="","",'Qredits maandlasten'!$C$8)</f>
        <v/>
      </c>
      <c r="P178" s="131" t="str">
        <f>IF($B178="","",'Qredits maandlasten'!$C$8*(POWER(1+'Qredits maandlasten'!$C$8,$B178-1+1)))</f>
        <v/>
      </c>
      <c r="Q178" s="131" t="str">
        <f t="shared" si="13"/>
        <v/>
      </c>
      <c r="R178" s="129"/>
      <c r="S178" s="130" t="str">
        <f t="shared" si="11"/>
        <v/>
      </c>
      <c r="T178" s="130" t="str">
        <f>IF(S178="","",J178/(POWER(1+'Qredits maandlasten'!$C$8,$B178-1+1)))</f>
        <v/>
      </c>
      <c r="U178" s="132" t="str">
        <f t="shared" si="14"/>
        <v/>
      </c>
      <c r="V178" s="130" t="str">
        <f>IF($B178="","",K178/(POWER(1+'Qredits maandlasten'!$C$8,$B178-1+1)))</f>
        <v/>
      </c>
      <c r="W178" s="129"/>
    </row>
    <row r="179" spans="1:23" s="134" customFormat="1" x14ac:dyDescent="0.2">
      <c r="A179" s="125"/>
      <c r="B179" s="126" t="str">
        <f>IF($B178="","",IF($B178+1&gt;'Qredits maandlasten'!$C$4,"",Schema!B178+1))</f>
        <v/>
      </c>
      <c r="C179" s="127" t="str">
        <f>IF($B178="","",IF($B178+1&gt;'Qredits maandlasten'!$C$4,"",EOMONTH(C178,0)+1))</f>
        <v/>
      </c>
      <c r="D179" s="125"/>
      <c r="E179" s="127" t="str">
        <f>IF($B178="","",IF($B178+1&gt;'Qredits maandlasten'!$C$4,"",F178+1))</f>
        <v/>
      </c>
      <c r="F179" s="127" t="str">
        <f>IF($B178="","",IF($B178+1&gt;'Qredits maandlasten'!$C$4,"",EOMONTH(E179,0)))</f>
        <v/>
      </c>
      <c r="G179" s="128" t="str">
        <f>IF($B178="","",IF($B178+1&gt;'Qredits maandlasten'!$C$4,"",(_xlfn.DAYS(F179,E179)+1)/DAY(F179)))</f>
        <v/>
      </c>
      <c r="H179" s="129"/>
      <c r="I179" s="130" t="str">
        <f>IF($B178="","",IF($B178+1&gt;'Qredits maandlasten'!$C$4,"",I178-J178))</f>
        <v/>
      </c>
      <c r="J179" s="130" t="str">
        <f>IF($B178="","",IF($B178+1&gt;'Qredits maandlasten'!$C$4,"",IF(B178&lt;'Qredits maandlasten'!$C$11-1,0,IF('Qredits maandlasten'!$C$10=dropdowns!$A$93,'Qredits maandlasten'!$J$3,IF('Qredits maandlasten'!$C$10=dropdowns!$A$92,IFERROR('Qredits maandlasten'!$J$3-K179,0),0)))))</f>
        <v/>
      </c>
      <c r="K179" s="130" t="str">
        <f>IF($B178="","",IF($B178+1&gt;'Qredits maandlasten'!$C$4,"",G179*I179*'Qredits maandlasten'!$C$8))</f>
        <v/>
      </c>
      <c r="L179" s="130" t="str">
        <f t="shared" si="12"/>
        <v/>
      </c>
      <c r="M179" s="130" t="str">
        <f t="shared" si="10"/>
        <v/>
      </c>
      <c r="N179" s="129"/>
      <c r="O179" s="131" t="str">
        <f>IF($B179="","",'Qredits maandlasten'!$C$8)</f>
        <v/>
      </c>
      <c r="P179" s="131" t="str">
        <f>IF($B179="","",'Qredits maandlasten'!$C$8*(POWER(1+'Qredits maandlasten'!$C$8,$B179-1+1)))</f>
        <v/>
      </c>
      <c r="Q179" s="131" t="str">
        <f t="shared" si="13"/>
        <v/>
      </c>
      <c r="R179" s="129"/>
      <c r="S179" s="130" t="str">
        <f t="shared" si="11"/>
        <v/>
      </c>
      <c r="T179" s="130" t="str">
        <f>IF(S179="","",J179/(POWER(1+'Qredits maandlasten'!$C$8,$B179-1+1)))</f>
        <v/>
      </c>
      <c r="U179" s="132" t="str">
        <f t="shared" si="14"/>
        <v/>
      </c>
      <c r="V179" s="130" t="str">
        <f>IF($B179="","",K179/(POWER(1+'Qredits maandlasten'!$C$8,$B179-1+1)))</f>
        <v/>
      </c>
      <c r="W179" s="129"/>
    </row>
    <row r="180" spans="1:23" s="134" customFormat="1" x14ac:dyDescent="0.2">
      <c r="A180" s="125"/>
      <c r="B180" s="126" t="str">
        <f>IF($B179="","",IF($B179+1&gt;'Qredits maandlasten'!$C$4,"",Schema!B179+1))</f>
        <v/>
      </c>
      <c r="C180" s="127" t="str">
        <f>IF($B179="","",IF($B179+1&gt;'Qredits maandlasten'!$C$4,"",EOMONTH(C179,0)+1))</f>
        <v/>
      </c>
      <c r="D180" s="125"/>
      <c r="E180" s="127" t="str">
        <f>IF($B179="","",IF($B179+1&gt;'Qredits maandlasten'!$C$4,"",F179+1))</f>
        <v/>
      </c>
      <c r="F180" s="127" t="str">
        <f>IF($B179="","",IF($B179+1&gt;'Qredits maandlasten'!$C$4,"",EOMONTH(E180,0)))</f>
        <v/>
      </c>
      <c r="G180" s="128" t="str">
        <f>IF($B179="","",IF($B179+1&gt;'Qredits maandlasten'!$C$4,"",(_xlfn.DAYS(F180,E180)+1)/DAY(F180)))</f>
        <v/>
      </c>
      <c r="H180" s="129"/>
      <c r="I180" s="130" t="str">
        <f>IF($B179="","",IF($B179+1&gt;'Qredits maandlasten'!$C$4,"",I179-J179))</f>
        <v/>
      </c>
      <c r="J180" s="130" t="str">
        <f>IF($B179="","",IF($B179+1&gt;'Qredits maandlasten'!$C$4,"",IF(B179&lt;'Qredits maandlasten'!$C$11-1,0,IF('Qredits maandlasten'!$C$10=dropdowns!$A$93,'Qredits maandlasten'!$J$3,IF('Qredits maandlasten'!$C$10=dropdowns!$A$92,IFERROR('Qredits maandlasten'!$J$3-K180,0),0)))))</f>
        <v/>
      </c>
      <c r="K180" s="130" t="str">
        <f>IF($B179="","",IF($B179+1&gt;'Qredits maandlasten'!$C$4,"",G180*I180*'Qredits maandlasten'!$C$8))</f>
        <v/>
      </c>
      <c r="L180" s="130" t="str">
        <f t="shared" si="12"/>
        <v/>
      </c>
      <c r="M180" s="130" t="str">
        <f t="shared" si="10"/>
        <v/>
      </c>
      <c r="N180" s="129"/>
      <c r="O180" s="131" t="str">
        <f>IF($B180="","",'Qredits maandlasten'!$C$8)</f>
        <v/>
      </c>
      <c r="P180" s="131" t="str">
        <f>IF($B180="","",'Qredits maandlasten'!$C$8*(POWER(1+'Qredits maandlasten'!$C$8,$B180-1+1)))</f>
        <v/>
      </c>
      <c r="Q180" s="131" t="str">
        <f t="shared" si="13"/>
        <v/>
      </c>
      <c r="R180" s="129"/>
      <c r="S180" s="130" t="str">
        <f t="shared" si="11"/>
        <v/>
      </c>
      <c r="T180" s="130" t="str">
        <f>IF(S180="","",J180/(POWER(1+'Qredits maandlasten'!$C$8,$B180-1+1)))</f>
        <v/>
      </c>
      <c r="U180" s="132" t="str">
        <f t="shared" si="14"/>
        <v/>
      </c>
      <c r="V180" s="130" t="str">
        <f>IF($B180="","",K180/(POWER(1+'Qredits maandlasten'!$C$8,$B180-1+1)))</f>
        <v/>
      </c>
      <c r="W180" s="129"/>
    </row>
    <row r="181" spans="1:23" s="134" customFormat="1" x14ac:dyDescent="0.2">
      <c r="A181" s="125"/>
      <c r="B181" s="126" t="str">
        <f>IF($B180="","",IF($B180+1&gt;'Qredits maandlasten'!$C$4,"",Schema!B180+1))</f>
        <v/>
      </c>
      <c r="C181" s="127" t="str">
        <f>IF($B180="","",IF($B180+1&gt;'Qredits maandlasten'!$C$4,"",EOMONTH(C180,0)+1))</f>
        <v/>
      </c>
      <c r="D181" s="125"/>
      <c r="E181" s="127" t="str">
        <f>IF($B180="","",IF($B180+1&gt;'Qredits maandlasten'!$C$4,"",F180+1))</f>
        <v/>
      </c>
      <c r="F181" s="127" t="str">
        <f>IF($B180="","",IF($B180+1&gt;'Qredits maandlasten'!$C$4,"",EOMONTH(E181,0)))</f>
        <v/>
      </c>
      <c r="G181" s="128" t="str">
        <f>IF($B180="","",IF($B180+1&gt;'Qredits maandlasten'!$C$4,"",(_xlfn.DAYS(F181,E181)+1)/DAY(F181)))</f>
        <v/>
      </c>
      <c r="H181" s="129"/>
      <c r="I181" s="130" t="str">
        <f>IF($B180="","",IF($B180+1&gt;'Qredits maandlasten'!$C$4,"",I180-J180))</f>
        <v/>
      </c>
      <c r="J181" s="130" t="str">
        <f>IF($B180="","",IF($B180+1&gt;'Qredits maandlasten'!$C$4,"",IF(B180&lt;'Qredits maandlasten'!$C$11-1,0,IF('Qredits maandlasten'!$C$10=dropdowns!$A$93,'Qredits maandlasten'!$J$3,IF('Qredits maandlasten'!$C$10=dropdowns!$A$92,IFERROR('Qredits maandlasten'!$J$3-K181,0),0)))))</f>
        <v/>
      </c>
      <c r="K181" s="130" t="str">
        <f>IF($B180="","",IF($B180+1&gt;'Qredits maandlasten'!$C$4,"",G181*I181*'Qredits maandlasten'!$C$8))</f>
        <v/>
      </c>
      <c r="L181" s="130" t="str">
        <f t="shared" si="12"/>
        <v/>
      </c>
      <c r="M181" s="130" t="str">
        <f t="shared" si="10"/>
        <v/>
      </c>
      <c r="N181" s="129"/>
      <c r="O181" s="131" t="str">
        <f>IF($B181="","",'Qredits maandlasten'!$C$8)</f>
        <v/>
      </c>
      <c r="P181" s="131" t="str">
        <f>IF($B181="","",'Qredits maandlasten'!$C$8*(POWER(1+'Qredits maandlasten'!$C$8,$B181-1+1)))</f>
        <v/>
      </c>
      <c r="Q181" s="131" t="str">
        <f t="shared" si="13"/>
        <v/>
      </c>
      <c r="R181" s="129"/>
      <c r="S181" s="130" t="str">
        <f t="shared" si="11"/>
        <v/>
      </c>
      <c r="T181" s="130" t="str">
        <f>IF(S181="","",J181/(POWER(1+'Qredits maandlasten'!$C$8,$B181-1+1)))</f>
        <v/>
      </c>
      <c r="U181" s="132" t="str">
        <f t="shared" si="14"/>
        <v/>
      </c>
      <c r="V181" s="130" t="str">
        <f>IF($B181="","",K181/(POWER(1+'Qredits maandlasten'!$C$8,$B181-1+1)))</f>
        <v/>
      </c>
      <c r="W181" s="129"/>
    </row>
    <row r="182" spans="1:23" s="134" customFormat="1" x14ac:dyDescent="0.2">
      <c r="A182" s="125"/>
      <c r="B182" s="126" t="str">
        <f>IF($B181="","",IF($B181+1&gt;'Qredits maandlasten'!$C$4,"",Schema!B181+1))</f>
        <v/>
      </c>
      <c r="C182" s="127" t="str">
        <f>IF($B181="","",IF($B181+1&gt;'Qredits maandlasten'!$C$4,"",EOMONTH(C181,0)+1))</f>
        <v/>
      </c>
      <c r="D182" s="125"/>
      <c r="E182" s="127" t="str">
        <f>IF($B181="","",IF($B181+1&gt;'Qredits maandlasten'!$C$4,"",F181+1))</f>
        <v/>
      </c>
      <c r="F182" s="127" t="str">
        <f>IF($B181="","",IF($B181+1&gt;'Qredits maandlasten'!$C$4,"",EOMONTH(E182,0)))</f>
        <v/>
      </c>
      <c r="G182" s="128" t="str">
        <f>IF($B181="","",IF($B181+1&gt;'Qredits maandlasten'!$C$4,"",(_xlfn.DAYS(F182,E182)+1)/DAY(F182)))</f>
        <v/>
      </c>
      <c r="H182" s="129"/>
      <c r="I182" s="130" t="str">
        <f>IF($B181="","",IF($B181+1&gt;'Qredits maandlasten'!$C$4,"",I181-J181))</f>
        <v/>
      </c>
      <c r="J182" s="130" t="str">
        <f>IF($B181="","",IF($B181+1&gt;'Qredits maandlasten'!$C$4,"",IF(B181&lt;'Qredits maandlasten'!$C$11-1,0,IF('Qredits maandlasten'!$C$10=dropdowns!$A$93,'Qredits maandlasten'!$J$3,IF('Qredits maandlasten'!$C$10=dropdowns!$A$92,IFERROR('Qredits maandlasten'!$J$3-K182,0),0)))))</f>
        <v/>
      </c>
      <c r="K182" s="130" t="str">
        <f>IF($B181="","",IF($B181+1&gt;'Qredits maandlasten'!$C$4,"",G182*I182*'Qredits maandlasten'!$C$8))</f>
        <v/>
      </c>
      <c r="L182" s="130" t="str">
        <f t="shared" si="12"/>
        <v/>
      </c>
      <c r="M182" s="130" t="str">
        <f t="shared" si="10"/>
        <v/>
      </c>
      <c r="N182" s="129"/>
      <c r="O182" s="131" t="str">
        <f>IF($B182="","",'Qredits maandlasten'!$C$8)</f>
        <v/>
      </c>
      <c r="P182" s="131" t="str">
        <f>IF($B182="","",'Qredits maandlasten'!$C$8*(POWER(1+'Qredits maandlasten'!$C$8,$B182-1+1)))</f>
        <v/>
      </c>
      <c r="Q182" s="131" t="str">
        <f t="shared" si="13"/>
        <v/>
      </c>
      <c r="R182" s="129"/>
      <c r="S182" s="130" t="str">
        <f t="shared" si="11"/>
        <v/>
      </c>
      <c r="T182" s="130" t="str">
        <f>IF(S182="","",J182/(POWER(1+'Qredits maandlasten'!$C$8,$B182-1+1)))</f>
        <v/>
      </c>
      <c r="U182" s="132" t="str">
        <f t="shared" si="14"/>
        <v/>
      </c>
      <c r="V182" s="130" t="str">
        <f>IF($B182="","",K182/(POWER(1+'Qredits maandlasten'!$C$8,$B182-1+1)))</f>
        <v/>
      </c>
      <c r="W182" s="129"/>
    </row>
    <row r="183" spans="1:23" s="134" customFormat="1" x14ac:dyDescent="0.2">
      <c r="A183" s="125"/>
      <c r="B183" s="126" t="str">
        <f>IF($B182="","",IF($B182+1&gt;'Qredits maandlasten'!$C$4,"",Schema!B182+1))</f>
        <v/>
      </c>
      <c r="C183" s="127" t="str">
        <f>IF($B182="","",IF($B182+1&gt;'Qredits maandlasten'!$C$4,"",EOMONTH(C182,0)+1))</f>
        <v/>
      </c>
      <c r="D183" s="125"/>
      <c r="E183" s="127" t="str">
        <f>IF($B182="","",IF($B182+1&gt;'Qredits maandlasten'!$C$4,"",F182+1))</f>
        <v/>
      </c>
      <c r="F183" s="127" t="str">
        <f>IF($B182="","",IF($B182+1&gt;'Qredits maandlasten'!$C$4,"",EOMONTH(E183,0)))</f>
        <v/>
      </c>
      <c r="G183" s="128" t="str">
        <f>IF($B182="","",IF($B182+1&gt;'Qredits maandlasten'!$C$4,"",(_xlfn.DAYS(F183,E183)+1)/DAY(F183)))</f>
        <v/>
      </c>
      <c r="H183" s="129"/>
      <c r="I183" s="130" t="str">
        <f>IF($B182="","",IF($B182+1&gt;'Qredits maandlasten'!$C$4,"",I182-J182))</f>
        <v/>
      </c>
      <c r="J183" s="130" t="str">
        <f>IF($B182="","",IF($B182+1&gt;'Qredits maandlasten'!$C$4,"",IF(B182&lt;'Qredits maandlasten'!$C$11-1,0,IF('Qredits maandlasten'!$C$10=dropdowns!$A$93,'Qredits maandlasten'!$J$3,IF('Qredits maandlasten'!$C$10=dropdowns!$A$92,IFERROR('Qredits maandlasten'!$J$3-K183,0),0)))))</f>
        <v/>
      </c>
      <c r="K183" s="130" t="str">
        <f>IF($B182="","",IF($B182+1&gt;'Qredits maandlasten'!$C$4,"",G183*I183*'Qredits maandlasten'!$C$8))</f>
        <v/>
      </c>
      <c r="L183" s="130" t="str">
        <f t="shared" si="12"/>
        <v/>
      </c>
      <c r="M183" s="130" t="str">
        <f t="shared" si="10"/>
        <v/>
      </c>
      <c r="N183" s="129"/>
      <c r="O183" s="131" t="str">
        <f>IF($B183="","",'Qredits maandlasten'!$C$8)</f>
        <v/>
      </c>
      <c r="P183" s="131" t="str">
        <f>IF($B183="","",'Qredits maandlasten'!$C$8*(POWER(1+'Qredits maandlasten'!$C$8,$B183-1+1)))</f>
        <v/>
      </c>
      <c r="Q183" s="131" t="str">
        <f t="shared" si="13"/>
        <v/>
      </c>
      <c r="R183" s="129"/>
      <c r="S183" s="130" t="str">
        <f t="shared" si="11"/>
        <v/>
      </c>
      <c r="T183" s="130" t="str">
        <f>IF(S183="","",J183/(POWER(1+'Qredits maandlasten'!$C$8,$B183-1+1)))</f>
        <v/>
      </c>
      <c r="U183" s="132" t="str">
        <f t="shared" si="14"/>
        <v/>
      </c>
      <c r="V183" s="130" t="str">
        <f>IF($B183="","",K183/(POWER(1+'Qredits maandlasten'!$C$8,$B183-1+1)))</f>
        <v/>
      </c>
      <c r="W183" s="129"/>
    </row>
    <row r="184" spans="1:23" s="134" customFormat="1" x14ac:dyDescent="0.2">
      <c r="A184" s="125"/>
      <c r="B184" s="126" t="str">
        <f>IF($B183="","",IF($B183+1&gt;'Qredits maandlasten'!$C$4,"",Schema!B183+1))</f>
        <v/>
      </c>
      <c r="C184" s="127" t="str">
        <f>IF($B183="","",IF($B183+1&gt;'Qredits maandlasten'!$C$4,"",EOMONTH(C183,0)+1))</f>
        <v/>
      </c>
      <c r="D184" s="125"/>
      <c r="E184" s="127" t="str">
        <f>IF($B183="","",IF($B183+1&gt;'Qredits maandlasten'!$C$4,"",F183+1))</f>
        <v/>
      </c>
      <c r="F184" s="127" t="str">
        <f>IF($B183="","",IF($B183+1&gt;'Qredits maandlasten'!$C$4,"",EOMONTH(E184,0)))</f>
        <v/>
      </c>
      <c r="G184" s="128" t="str">
        <f>IF($B183="","",IF($B183+1&gt;'Qredits maandlasten'!$C$4,"",(_xlfn.DAYS(F184,E184)+1)/DAY(F184)))</f>
        <v/>
      </c>
      <c r="H184" s="129"/>
      <c r="I184" s="130" t="str">
        <f>IF($B183="","",IF($B183+1&gt;'Qredits maandlasten'!$C$4,"",I183-J183))</f>
        <v/>
      </c>
      <c r="J184" s="130" t="str">
        <f>IF($B183="","",IF($B183+1&gt;'Qredits maandlasten'!$C$4,"",IF(B183&lt;'Qredits maandlasten'!$C$11-1,0,IF('Qredits maandlasten'!$C$10=dropdowns!$A$93,'Qredits maandlasten'!$J$3,IF('Qredits maandlasten'!$C$10=dropdowns!$A$92,IFERROR('Qredits maandlasten'!$J$3-K184,0),0)))))</f>
        <v/>
      </c>
      <c r="K184" s="130" t="str">
        <f>IF($B183="","",IF($B183+1&gt;'Qredits maandlasten'!$C$4,"",G184*I184*'Qredits maandlasten'!$C$8))</f>
        <v/>
      </c>
      <c r="L184" s="130" t="str">
        <f t="shared" si="12"/>
        <v/>
      </c>
      <c r="M184" s="130" t="str">
        <f t="shared" si="10"/>
        <v/>
      </c>
      <c r="N184" s="129"/>
      <c r="O184" s="131" t="str">
        <f>IF($B184="","",'Qredits maandlasten'!$C$8)</f>
        <v/>
      </c>
      <c r="P184" s="131" t="str">
        <f>IF($B184="","",'Qredits maandlasten'!$C$8*(POWER(1+'Qredits maandlasten'!$C$8,$B184-1+1)))</f>
        <v/>
      </c>
      <c r="Q184" s="131" t="str">
        <f t="shared" si="13"/>
        <v/>
      </c>
      <c r="R184" s="129"/>
      <c r="S184" s="130" t="str">
        <f t="shared" si="11"/>
        <v/>
      </c>
      <c r="T184" s="130" t="str">
        <f>IF(S184="","",J184/(POWER(1+'Qredits maandlasten'!$C$8,$B184-1+1)))</f>
        <v/>
      </c>
      <c r="U184" s="132" t="str">
        <f t="shared" si="14"/>
        <v/>
      </c>
      <c r="V184" s="130" t="str">
        <f>IF($B184="","",K184/(POWER(1+'Qredits maandlasten'!$C$8,$B184-1+1)))</f>
        <v/>
      </c>
      <c r="W184" s="129"/>
    </row>
    <row r="185" spans="1:23" s="134" customFormat="1" x14ac:dyDescent="0.2">
      <c r="A185" s="125"/>
      <c r="B185" s="126" t="str">
        <f>IF($B184="","",IF($B184+1&gt;'Qredits maandlasten'!$C$4,"",Schema!B184+1))</f>
        <v/>
      </c>
      <c r="C185" s="127" t="str">
        <f>IF($B184="","",IF($B184+1&gt;'Qredits maandlasten'!$C$4,"",EOMONTH(C184,0)+1))</f>
        <v/>
      </c>
      <c r="D185" s="125"/>
      <c r="E185" s="127" t="str">
        <f>IF($B184="","",IF($B184+1&gt;'Qredits maandlasten'!$C$4,"",F184+1))</f>
        <v/>
      </c>
      <c r="F185" s="127" t="str">
        <f>IF($B184="","",IF($B184+1&gt;'Qredits maandlasten'!$C$4,"",EOMONTH(E185,0)))</f>
        <v/>
      </c>
      <c r="G185" s="128" t="str">
        <f>IF($B184="","",IF($B184+1&gt;'Qredits maandlasten'!$C$4,"",(_xlfn.DAYS(F185,E185)+1)/DAY(F185)))</f>
        <v/>
      </c>
      <c r="H185" s="129"/>
      <c r="I185" s="130" t="str">
        <f>IF($B184="","",IF($B184+1&gt;'Qredits maandlasten'!$C$4,"",I184-J184))</f>
        <v/>
      </c>
      <c r="J185" s="130" t="str">
        <f>IF($B184="","",IF($B184+1&gt;'Qredits maandlasten'!$C$4,"",IF(B184&lt;'Qredits maandlasten'!$C$11-1,0,IF('Qredits maandlasten'!$C$10=dropdowns!$A$93,'Qredits maandlasten'!$J$3,IF('Qredits maandlasten'!$C$10=dropdowns!$A$92,IFERROR('Qredits maandlasten'!$J$3-K185,0),0)))))</f>
        <v/>
      </c>
      <c r="K185" s="130" t="str">
        <f>IF($B184="","",IF($B184+1&gt;'Qredits maandlasten'!$C$4,"",G185*I185*'Qredits maandlasten'!$C$8))</f>
        <v/>
      </c>
      <c r="L185" s="130" t="str">
        <f t="shared" si="12"/>
        <v/>
      </c>
      <c r="M185" s="130" t="str">
        <f t="shared" si="10"/>
        <v/>
      </c>
      <c r="N185" s="129"/>
      <c r="O185" s="131" t="str">
        <f>IF($B185="","",'Qredits maandlasten'!$C$8)</f>
        <v/>
      </c>
      <c r="P185" s="131" t="str">
        <f>IF($B185="","",'Qredits maandlasten'!$C$8*(POWER(1+'Qredits maandlasten'!$C$8,$B185-1+1)))</f>
        <v/>
      </c>
      <c r="Q185" s="131" t="str">
        <f t="shared" si="13"/>
        <v/>
      </c>
      <c r="R185" s="129"/>
      <c r="S185" s="130" t="str">
        <f t="shared" si="11"/>
        <v/>
      </c>
      <c r="T185" s="130" t="str">
        <f>IF(S185="","",J185/(POWER(1+'Qredits maandlasten'!$C$8,$B185-1+1)))</f>
        <v/>
      </c>
      <c r="U185" s="132" t="str">
        <f t="shared" si="14"/>
        <v/>
      </c>
      <c r="V185" s="130" t="str">
        <f>IF($B185="","",K185/(POWER(1+'Qredits maandlasten'!$C$8,$B185-1+1)))</f>
        <v/>
      </c>
      <c r="W185" s="129"/>
    </row>
    <row r="186" spans="1:23" s="134" customFormat="1" x14ac:dyDescent="0.2">
      <c r="A186" s="125"/>
      <c r="B186" s="126" t="str">
        <f>IF($B185="","",IF($B185+1&gt;'Qredits maandlasten'!$C$4,"",Schema!B185+1))</f>
        <v/>
      </c>
      <c r="C186" s="127" t="str">
        <f>IF($B185="","",IF($B185+1&gt;'Qredits maandlasten'!$C$4,"",EOMONTH(C185,0)+1))</f>
        <v/>
      </c>
      <c r="D186" s="125"/>
      <c r="E186" s="127" t="str">
        <f>IF($B185="","",IF($B185+1&gt;'Qredits maandlasten'!$C$4,"",F185+1))</f>
        <v/>
      </c>
      <c r="F186" s="127" t="str">
        <f>IF($B185="","",IF($B185+1&gt;'Qredits maandlasten'!$C$4,"",EOMONTH(E186,0)))</f>
        <v/>
      </c>
      <c r="G186" s="128" t="str">
        <f>IF($B185="","",IF($B185+1&gt;'Qredits maandlasten'!$C$4,"",(_xlfn.DAYS(F186,E186)+1)/DAY(F186)))</f>
        <v/>
      </c>
      <c r="H186" s="129"/>
      <c r="I186" s="130" t="str">
        <f>IF($B185="","",IF($B185+1&gt;'Qredits maandlasten'!$C$4,"",I185-J185))</f>
        <v/>
      </c>
      <c r="J186" s="130" t="str">
        <f>IF($B185="","",IF($B185+1&gt;'Qredits maandlasten'!$C$4,"",IF(B185&lt;'Qredits maandlasten'!$C$11-1,0,IF('Qredits maandlasten'!$C$10=dropdowns!$A$93,'Qredits maandlasten'!$J$3,IF('Qredits maandlasten'!$C$10=dropdowns!$A$92,IFERROR('Qredits maandlasten'!$J$3-K186,0),0)))))</f>
        <v/>
      </c>
      <c r="K186" s="130" t="str">
        <f>IF($B185="","",IF($B185+1&gt;'Qredits maandlasten'!$C$4,"",G186*I186*'Qredits maandlasten'!$C$8))</f>
        <v/>
      </c>
      <c r="L186" s="130" t="str">
        <f t="shared" si="12"/>
        <v/>
      </c>
      <c r="M186" s="130" t="str">
        <f t="shared" si="10"/>
        <v/>
      </c>
      <c r="N186" s="129"/>
      <c r="O186" s="131" t="str">
        <f>IF($B186="","",'Qredits maandlasten'!$C$8)</f>
        <v/>
      </c>
      <c r="P186" s="131" t="str">
        <f>IF($B186="","",'Qredits maandlasten'!$C$8*(POWER(1+'Qredits maandlasten'!$C$8,$B186-1+1)))</f>
        <v/>
      </c>
      <c r="Q186" s="131" t="str">
        <f t="shared" si="13"/>
        <v/>
      </c>
      <c r="R186" s="129"/>
      <c r="S186" s="130" t="str">
        <f t="shared" si="11"/>
        <v/>
      </c>
      <c r="T186" s="130" t="str">
        <f>IF(S186="","",J186/(POWER(1+'Qredits maandlasten'!$C$8,$B186-1+1)))</f>
        <v/>
      </c>
      <c r="U186" s="132" t="str">
        <f t="shared" si="14"/>
        <v/>
      </c>
      <c r="V186" s="130" t="str">
        <f>IF($B186="","",K186/(POWER(1+'Qredits maandlasten'!$C$8,$B186-1+1)))</f>
        <v/>
      </c>
      <c r="W186" s="129"/>
    </row>
    <row r="187" spans="1:23" s="134" customFormat="1" x14ac:dyDescent="0.2">
      <c r="A187" s="125"/>
      <c r="B187" s="126" t="str">
        <f>IF($B186="","",IF($B186+1&gt;'Qredits maandlasten'!$C$4,"",Schema!B186+1))</f>
        <v/>
      </c>
      <c r="C187" s="127" t="str">
        <f>IF($B186="","",IF($B186+1&gt;'Qredits maandlasten'!$C$4,"",EOMONTH(C186,0)+1))</f>
        <v/>
      </c>
      <c r="D187" s="125"/>
      <c r="E187" s="127" t="str">
        <f>IF($B186="","",IF($B186+1&gt;'Qredits maandlasten'!$C$4,"",F186+1))</f>
        <v/>
      </c>
      <c r="F187" s="127" t="str">
        <f>IF($B186="","",IF($B186+1&gt;'Qredits maandlasten'!$C$4,"",EOMONTH(E187,0)))</f>
        <v/>
      </c>
      <c r="G187" s="128" t="str">
        <f>IF($B186="","",IF($B186+1&gt;'Qredits maandlasten'!$C$4,"",(_xlfn.DAYS(F187,E187)+1)/DAY(F187)))</f>
        <v/>
      </c>
      <c r="H187" s="129"/>
      <c r="I187" s="130" t="str">
        <f>IF($B186="","",IF($B186+1&gt;'Qredits maandlasten'!$C$4,"",I186-J186))</f>
        <v/>
      </c>
      <c r="J187" s="130" t="str">
        <f>IF($B186="","",IF($B186+1&gt;'Qredits maandlasten'!$C$4,"",IF(B186&lt;'Qredits maandlasten'!$C$11-1,0,IF('Qredits maandlasten'!$C$10=dropdowns!$A$93,'Qredits maandlasten'!$J$3,IF('Qredits maandlasten'!$C$10=dropdowns!$A$92,IFERROR('Qredits maandlasten'!$J$3-K187,0),0)))))</f>
        <v/>
      </c>
      <c r="K187" s="130" t="str">
        <f>IF($B186="","",IF($B186+1&gt;'Qredits maandlasten'!$C$4,"",G187*I187*'Qredits maandlasten'!$C$8))</f>
        <v/>
      </c>
      <c r="L187" s="130" t="str">
        <f t="shared" si="12"/>
        <v/>
      </c>
      <c r="M187" s="130" t="str">
        <f t="shared" si="10"/>
        <v/>
      </c>
      <c r="N187" s="129"/>
      <c r="O187" s="131" t="str">
        <f>IF($B187="","",'Qredits maandlasten'!$C$8)</f>
        <v/>
      </c>
      <c r="P187" s="131" t="str">
        <f>IF($B187="","",'Qredits maandlasten'!$C$8*(POWER(1+'Qredits maandlasten'!$C$8,$B187-1+1)))</f>
        <v/>
      </c>
      <c r="Q187" s="131" t="str">
        <f t="shared" si="13"/>
        <v/>
      </c>
      <c r="R187" s="129"/>
      <c r="S187" s="130" t="str">
        <f t="shared" si="11"/>
        <v/>
      </c>
      <c r="T187" s="130" t="str">
        <f>IF(S187="","",J187/(POWER(1+'Qredits maandlasten'!$C$8,$B187-1+1)))</f>
        <v/>
      </c>
      <c r="U187" s="132" t="str">
        <f t="shared" si="14"/>
        <v/>
      </c>
      <c r="V187" s="130" t="str">
        <f>IF($B187="","",K187/(POWER(1+'Qredits maandlasten'!$C$8,$B187-1+1)))</f>
        <v/>
      </c>
      <c r="W187" s="129"/>
    </row>
    <row r="188" spans="1:23" s="134" customFormat="1" x14ac:dyDescent="0.2">
      <c r="A188" s="125"/>
      <c r="B188" s="126" t="str">
        <f>IF($B187="","",IF($B187+1&gt;'Qredits maandlasten'!$C$4,"",Schema!B187+1))</f>
        <v/>
      </c>
      <c r="C188" s="127" t="str">
        <f>IF($B187="","",IF($B187+1&gt;'Qredits maandlasten'!$C$4,"",EOMONTH(C187,0)+1))</f>
        <v/>
      </c>
      <c r="D188" s="125"/>
      <c r="E188" s="127" t="str">
        <f>IF($B187="","",IF($B187+1&gt;'Qredits maandlasten'!$C$4,"",F187+1))</f>
        <v/>
      </c>
      <c r="F188" s="127" t="str">
        <f>IF($B187="","",IF($B187+1&gt;'Qredits maandlasten'!$C$4,"",EOMONTH(E188,0)))</f>
        <v/>
      </c>
      <c r="G188" s="128" t="str">
        <f>IF($B187="","",IF($B187+1&gt;'Qredits maandlasten'!$C$4,"",(_xlfn.DAYS(F188,E188)+1)/DAY(F188)))</f>
        <v/>
      </c>
      <c r="H188" s="129"/>
      <c r="I188" s="130" t="str">
        <f>IF($B187="","",IF($B187+1&gt;'Qredits maandlasten'!$C$4,"",I187-J187))</f>
        <v/>
      </c>
      <c r="J188" s="130" t="str">
        <f>IF($B187="","",IF($B187+1&gt;'Qredits maandlasten'!$C$4,"",IF(B187&lt;'Qredits maandlasten'!$C$11-1,0,IF('Qredits maandlasten'!$C$10=dropdowns!$A$93,'Qredits maandlasten'!$J$3,IF('Qredits maandlasten'!$C$10=dropdowns!$A$92,IFERROR('Qredits maandlasten'!$J$3-K188,0),0)))))</f>
        <v/>
      </c>
      <c r="K188" s="130" t="str">
        <f>IF($B187="","",IF($B187+1&gt;'Qredits maandlasten'!$C$4,"",G188*I188*'Qredits maandlasten'!$C$8))</f>
        <v/>
      </c>
      <c r="L188" s="130" t="str">
        <f t="shared" si="12"/>
        <v/>
      </c>
      <c r="M188" s="130" t="str">
        <f t="shared" si="10"/>
        <v/>
      </c>
      <c r="N188" s="129"/>
      <c r="O188" s="131" t="str">
        <f>IF($B188="","",'Qredits maandlasten'!$C$8)</f>
        <v/>
      </c>
      <c r="P188" s="131" t="str">
        <f>IF($B188="","",'Qredits maandlasten'!$C$8*(POWER(1+'Qredits maandlasten'!$C$8,$B188-1+1)))</f>
        <v/>
      </c>
      <c r="Q188" s="131" t="str">
        <f t="shared" si="13"/>
        <v/>
      </c>
      <c r="R188" s="129"/>
      <c r="S188" s="130" t="str">
        <f t="shared" si="11"/>
        <v/>
      </c>
      <c r="T188" s="130" t="str">
        <f>IF(S188="","",J188/(POWER(1+'Qredits maandlasten'!$C$8,$B188-1+1)))</f>
        <v/>
      </c>
      <c r="U188" s="132" t="str">
        <f t="shared" si="14"/>
        <v/>
      </c>
      <c r="V188" s="130" t="str">
        <f>IF($B188="","",K188/(POWER(1+'Qredits maandlasten'!$C$8,$B188-1+1)))</f>
        <v/>
      </c>
      <c r="W188" s="129"/>
    </row>
    <row r="189" spans="1:23" s="134" customFormat="1" x14ac:dyDescent="0.2">
      <c r="A189" s="125"/>
      <c r="B189" s="126" t="str">
        <f>IF($B188="","",IF($B188+1&gt;'Qredits maandlasten'!$C$4,"",Schema!B188+1))</f>
        <v/>
      </c>
      <c r="C189" s="127" t="str">
        <f>IF($B188="","",IF($B188+1&gt;'Qredits maandlasten'!$C$4,"",EOMONTH(C188,0)+1))</f>
        <v/>
      </c>
      <c r="D189" s="125"/>
      <c r="E189" s="127" t="str">
        <f>IF($B188="","",IF($B188+1&gt;'Qredits maandlasten'!$C$4,"",F188+1))</f>
        <v/>
      </c>
      <c r="F189" s="127" t="str">
        <f>IF($B188="","",IF($B188+1&gt;'Qredits maandlasten'!$C$4,"",EOMONTH(E189,0)))</f>
        <v/>
      </c>
      <c r="G189" s="128" t="str">
        <f>IF($B188="","",IF($B188+1&gt;'Qredits maandlasten'!$C$4,"",(_xlfn.DAYS(F189,E189)+1)/DAY(F189)))</f>
        <v/>
      </c>
      <c r="H189" s="129"/>
      <c r="I189" s="130" t="str">
        <f>IF($B188="","",IF($B188+1&gt;'Qredits maandlasten'!$C$4,"",I188-J188))</f>
        <v/>
      </c>
      <c r="J189" s="130" t="str">
        <f>IF($B188="","",IF($B188+1&gt;'Qredits maandlasten'!$C$4,"",IF(B188&lt;'Qredits maandlasten'!$C$11-1,0,IF('Qredits maandlasten'!$C$10=dropdowns!$A$93,'Qredits maandlasten'!$J$3,IF('Qredits maandlasten'!$C$10=dropdowns!$A$92,IFERROR('Qredits maandlasten'!$J$3-K189,0),0)))))</f>
        <v/>
      </c>
      <c r="K189" s="130" t="str">
        <f>IF($B188="","",IF($B188+1&gt;'Qredits maandlasten'!$C$4,"",G189*I189*'Qredits maandlasten'!$C$8))</f>
        <v/>
      </c>
      <c r="L189" s="130" t="str">
        <f t="shared" si="12"/>
        <v/>
      </c>
      <c r="M189" s="130" t="str">
        <f t="shared" si="10"/>
        <v/>
      </c>
      <c r="N189" s="129"/>
      <c r="O189" s="131" t="str">
        <f>IF($B189="","",'Qredits maandlasten'!$C$8)</f>
        <v/>
      </c>
      <c r="P189" s="131" t="str">
        <f>IF($B189="","",'Qredits maandlasten'!$C$8*(POWER(1+'Qredits maandlasten'!$C$8,$B189-1+1)))</f>
        <v/>
      </c>
      <c r="Q189" s="131" t="str">
        <f t="shared" si="13"/>
        <v/>
      </c>
      <c r="R189" s="129"/>
      <c r="S189" s="130" t="str">
        <f t="shared" si="11"/>
        <v/>
      </c>
      <c r="T189" s="130" t="str">
        <f>IF(S189="","",J189/(POWER(1+'Qredits maandlasten'!$C$8,$B189-1+1)))</f>
        <v/>
      </c>
      <c r="U189" s="132" t="str">
        <f t="shared" si="14"/>
        <v/>
      </c>
      <c r="V189" s="130" t="str">
        <f>IF($B189="","",K189/(POWER(1+'Qredits maandlasten'!$C$8,$B189-1+1)))</f>
        <v/>
      </c>
      <c r="W189" s="129"/>
    </row>
    <row r="190" spans="1:23" s="134" customFormat="1" x14ac:dyDescent="0.2">
      <c r="A190" s="125"/>
      <c r="B190" s="126" t="str">
        <f>IF($B189="","",IF($B189+1&gt;'Qredits maandlasten'!$C$4,"",Schema!B189+1))</f>
        <v/>
      </c>
      <c r="C190" s="127" t="str">
        <f>IF($B189="","",IF($B189+1&gt;'Qredits maandlasten'!$C$4,"",EOMONTH(C189,0)+1))</f>
        <v/>
      </c>
      <c r="D190" s="125"/>
      <c r="E190" s="127" t="str">
        <f>IF($B189="","",IF($B189+1&gt;'Qredits maandlasten'!$C$4,"",F189+1))</f>
        <v/>
      </c>
      <c r="F190" s="127" t="str">
        <f>IF($B189="","",IF($B189+1&gt;'Qredits maandlasten'!$C$4,"",EOMONTH(E190,0)))</f>
        <v/>
      </c>
      <c r="G190" s="128" t="str">
        <f>IF($B189="","",IF($B189+1&gt;'Qredits maandlasten'!$C$4,"",(_xlfn.DAYS(F190,E190)+1)/DAY(F190)))</f>
        <v/>
      </c>
      <c r="H190" s="129"/>
      <c r="I190" s="130" t="str">
        <f>IF($B189="","",IF($B189+1&gt;'Qredits maandlasten'!$C$4,"",I189-J189))</f>
        <v/>
      </c>
      <c r="J190" s="130" t="str">
        <f>IF($B189="","",IF($B189+1&gt;'Qredits maandlasten'!$C$4,"",IF(B189&lt;'Qredits maandlasten'!$C$11-1,0,IF('Qredits maandlasten'!$C$10=dropdowns!$A$93,'Qredits maandlasten'!$J$3,IF('Qredits maandlasten'!$C$10=dropdowns!$A$92,IFERROR('Qredits maandlasten'!$J$3-K190,0),0)))))</f>
        <v/>
      </c>
      <c r="K190" s="130" t="str">
        <f>IF($B189="","",IF($B189+1&gt;'Qredits maandlasten'!$C$4,"",G190*I190*'Qredits maandlasten'!$C$8))</f>
        <v/>
      </c>
      <c r="L190" s="130" t="str">
        <f t="shared" si="12"/>
        <v/>
      </c>
      <c r="M190" s="130" t="str">
        <f t="shared" si="10"/>
        <v/>
      </c>
      <c r="N190" s="129"/>
      <c r="O190" s="131" t="str">
        <f>IF($B190="","",'Qredits maandlasten'!$C$8)</f>
        <v/>
      </c>
      <c r="P190" s="131" t="str">
        <f>IF($B190="","",'Qredits maandlasten'!$C$8*(POWER(1+'Qredits maandlasten'!$C$8,$B190-1+1)))</f>
        <v/>
      </c>
      <c r="Q190" s="131" t="str">
        <f t="shared" si="13"/>
        <v/>
      </c>
      <c r="R190" s="129"/>
      <c r="S190" s="130" t="str">
        <f t="shared" si="11"/>
        <v/>
      </c>
      <c r="T190" s="130" t="str">
        <f>IF(S190="","",J190/(POWER(1+'Qredits maandlasten'!$C$8,$B190-1+1)))</f>
        <v/>
      </c>
      <c r="U190" s="132" t="str">
        <f t="shared" si="14"/>
        <v/>
      </c>
      <c r="V190" s="130" t="str">
        <f>IF($B190="","",K190/(POWER(1+'Qredits maandlasten'!$C$8,$B190-1+1)))</f>
        <v/>
      </c>
      <c r="W190" s="129"/>
    </row>
    <row r="191" spans="1:23" s="134" customFormat="1" x14ac:dyDescent="0.2">
      <c r="A191" s="125"/>
      <c r="B191" s="126" t="str">
        <f>IF($B190="","",IF($B190+1&gt;'Qredits maandlasten'!$C$4,"",Schema!B190+1))</f>
        <v/>
      </c>
      <c r="C191" s="127" t="str">
        <f>IF($B190="","",IF($B190+1&gt;'Qredits maandlasten'!$C$4,"",EOMONTH(C190,0)+1))</f>
        <v/>
      </c>
      <c r="D191" s="125"/>
      <c r="E191" s="127" t="str">
        <f>IF($B190="","",IF($B190+1&gt;'Qredits maandlasten'!$C$4,"",F190+1))</f>
        <v/>
      </c>
      <c r="F191" s="127" t="str">
        <f>IF($B190="","",IF($B190+1&gt;'Qredits maandlasten'!$C$4,"",EOMONTH(E191,0)))</f>
        <v/>
      </c>
      <c r="G191" s="128" t="str">
        <f>IF($B190="","",IF($B190+1&gt;'Qredits maandlasten'!$C$4,"",(_xlfn.DAYS(F191,E191)+1)/DAY(F191)))</f>
        <v/>
      </c>
      <c r="H191" s="129"/>
      <c r="I191" s="130" t="str">
        <f>IF($B190="","",IF($B190+1&gt;'Qredits maandlasten'!$C$4,"",I190-J190))</f>
        <v/>
      </c>
      <c r="J191" s="130" t="str">
        <f>IF($B190="","",IF($B190+1&gt;'Qredits maandlasten'!$C$4,"",IF(B190&lt;'Qredits maandlasten'!$C$11-1,0,IF('Qredits maandlasten'!$C$10=dropdowns!$A$93,'Qredits maandlasten'!$J$3,IF('Qredits maandlasten'!$C$10=dropdowns!$A$92,IFERROR('Qredits maandlasten'!$J$3-K191,0),0)))))</f>
        <v/>
      </c>
      <c r="K191" s="130" t="str">
        <f>IF($B190="","",IF($B190+1&gt;'Qredits maandlasten'!$C$4,"",G191*I191*'Qredits maandlasten'!$C$8))</f>
        <v/>
      </c>
      <c r="L191" s="130" t="str">
        <f t="shared" si="12"/>
        <v/>
      </c>
      <c r="M191" s="130" t="str">
        <f t="shared" si="10"/>
        <v/>
      </c>
      <c r="N191" s="129"/>
      <c r="O191" s="131" t="str">
        <f>IF($B191="","",'Qredits maandlasten'!$C$8)</f>
        <v/>
      </c>
      <c r="P191" s="131" t="str">
        <f>IF($B191="","",'Qredits maandlasten'!$C$8*(POWER(1+'Qredits maandlasten'!$C$8,$B191-1+1)))</f>
        <v/>
      </c>
      <c r="Q191" s="131" t="str">
        <f t="shared" si="13"/>
        <v/>
      </c>
      <c r="R191" s="129"/>
      <c r="S191" s="130" t="str">
        <f t="shared" si="11"/>
        <v/>
      </c>
      <c r="T191" s="130" t="str">
        <f>IF(S191="","",J191/(POWER(1+'Qredits maandlasten'!$C$8,$B191-1+1)))</f>
        <v/>
      </c>
      <c r="U191" s="132" t="str">
        <f t="shared" si="14"/>
        <v/>
      </c>
      <c r="V191" s="130" t="str">
        <f>IF($B191="","",K191/(POWER(1+'Qredits maandlasten'!$C$8,$B191-1+1)))</f>
        <v/>
      </c>
      <c r="W191" s="129"/>
    </row>
    <row r="192" spans="1:23" s="134" customFormat="1" x14ac:dyDescent="0.2">
      <c r="A192" s="125"/>
      <c r="B192" s="126" t="str">
        <f>IF($B191="","",IF($B191+1&gt;'Qredits maandlasten'!$C$4,"",Schema!B191+1))</f>
        <v/>
      </c>
      <c r="C192" s="127" t="str">
        <f>IF($B191="","",IF($B191+1&gt;'Qredits maandlasten'!$C$4,"",EOMONTH(C191,0)+1))</f>
        <v/>
      </c>
      <c r="D192" s="125"/>
      <c r="E192" s="127" t="str">
        <f>IF($B191="","",IF($B191+1&gt;'Qredits maandlasten'!$C$4,"",F191+1))</f>
        <v/>
      </c>
      <c r="F192" s="127" t="str">
        <f>IF($B191="","",IF($B191+1&gt;'Qredits maandlasten'!$C$4,"",EOMONTH(E192,0)))</f>
        <v/>
      </c>
      <c r="G192" s="128" t="str">
        <f>IF($B191="","",IF($B191+1&gt;'Qredits maandlasten'!$C$4,"",(_xlfn.DAYS(F192,E192)+1)/DAY(F192)))</f>
        <v/>
      </c>
      <c r="H192" s="129"/>
      <c r="I192" s="130" t="str">
        <f>IF($B191="","",IF($B191+1&gt;'Qredits maandlasten'!$C$4,"",I191-J191))</f>
        <v/>
      </c>
      <c r="J192" s="130" t="str">
        <f>IF($B191="","",IF($B191+1&gt;'Qredits maandlasten'!$C$4,"",IF(B191&lt;'Qredits maandlasten'!$C$11-1,0,IF('Qredits maandlasten'!$C$10=dropdowns!$A$93,'Qredits maandlasten'!$J$3,IF('Qredits maandlasten'!$C$10=dropdowns!$A$92,IFERROR('Qredits maandlasten'!$J$3-K192,0),0)))))</f>
        <v/>
      </c>
      <c r="K192" s="130" t="str">
        <f>IF($B191="","",IF($B191+1&gt;'Qredits maandlasten'!$C$4,"",G192*I192*'Qredits maandlasten'!$C$8))</f>
        <v/>
      </c>
      <c r="L192" s="130" t="str">
        <f t="shared" si="12"/>
        <v/>
      </c>
      <c r="M192" s="130" t="str">
        <f t="shared" si="10"/>
        <v/>
      </c>
      <c r="N192" s="129"/>
      <c r="O192" s="131" t="str">
        <f>IF($B192="","",'Qredits maandlasten'!$C$8)</f>
        <v/>
      </c>
      <c r="P192" s="131" t="str">
        <f>IF($B192="","",'Qredits maandlasten'!$C$8*(POWER(1+'Qredits maandlasten'!$C$8,$B192-1+1)))</f>
        <v/>
      </c>
      <c r="Q192" s="131" t="str">
        <f t="shared" si="13"/>
        <v/>
      </c>
      <c r="R192" s="129"/>
      <c r="S192" s="130" t="str">
        <f t="shared" si="11"/>
        <v/>
      </c>
      <c r="T192" s="130" t="str">
        <f>IF(S192="","",J192/(POWER(1+'Qredits maandlasten'!$C$8,$B192-1+1)))</f>
        <v/>
      </c>
      <c r="U192" s="132" t="str">
        <f t="shared" si="14"/>
        <v/>
      </c>
      <c r="V192" s="130" t="str">
        <f>IF($B192="","",K192/(POWER(1+'Qredits maandlasten'!$C$8,$B192-1+1)))</f>
        <v/>
      </c>
      <c r="W192" s="129"/>
    </row>
    <row r="193" spans="1:23" s="134" customFormat="1" x14ac:dyDescent="0.2">
      <c r="A193" s="125"/>
      <c r="B193" s="126" t="str">
        <f>IF($B192="","",IF($B192+1&gt;'Qredits maandlasten'!$C$4,"",Schema!B192+1))</f>
        <v/>
      </c>
      <c r="C193" s="127" t="str">
        <f>IF($B192="","",IF($B192+1&gt;'Qredits maandlasten'!$C$4,"",EOMONTH(C192,0)+1))</f>
        <v/>
      </c>
      <c r="D193" s="125"/>
      <c r="E193" s="127" t="str">
        <f>IF($B192="","",IF($B192+1&gt;'Qredits maandlasten'!$C$4,"",F192+1))</f>
        <v/>
      </c>
      <c r="F193" s="127" t="str">
        <f>IF($B192="","",IF($B192+1&gt;'Qredits maandlasten'!$C$4,"",EOMONTH(E193,0)))</f>
        <v/>
      </c>
      <c r="G193" s="128" t="str">
        <f>IF($B192="","",IF($B192+1&gt;'Qredits maandlasten'!$C$4,"",(_xlfn.DAYS(F193,E193)+1)/DAY(F193)))</f>
        <v/>
      </c>
      <c r="H193" s="129"/>
      <c r="I193" s="130" t="str">
        <f>IF($B192="","",IF($B192+1&gt;'Qredits maandlasten'!$C$4,"",I192-J192))</f>
        <v/>
      </c>
      <c r="J193" s="130" t="str">
        <f>IF($B192="","",IF($B192+1&gt;'Qredits maandlasten'!$C$4,"",IF(B192&lt;'Qredits maandlasten'!$C$11-1,0,IF('Qredits maandlasten'!$C$10=dropdowns!$A$93,'Qredits maandlasten'!$J$3,IF('Qredits maandlasten'!$C$10=dropdowns!$A$92,IFERROR('Qredits maandlasten'!$J$3-K193,0),0)))))</f>
        <v/>
      </c>
      <c r="K193" s="130" t="str">
        <f>IF($B192="","",IF($B192+1&gt;'Qredits maandlasten'!$C$4,"",G193*I193*'Qredits maandlasten'!$C$8))</f>
        <v/>
      </c>
      <c r="L193" s="130" t="str">
        <f t="shared" si="12"/>
        <v/>
      </c>
      <c r="M193" s="130" t="str">
        <f t="shared" si="10"/>
        <v/>
      </c>
      <c r="N193" s="129"/>
      <c r="O193" s="131" t="str">
        <f>IF($B193="","",'Qredits maandlasten'!$C$8)</f>
        <v/>
      </c>
      <c r="P193" s="131" t="str">
        <f>IF($B193="","",'Qredits maandlasten'!$C$8*(POWER(1+'Qredits maandlasten'!$C$8,$B193-1+1)))</f>
        <v/>
      </c>
      <c r="Q193" s="131" t="str">
        <f t="shared" si="13"/>
        <v/>
      </c>
      <c r="R193" s="129"/>
      <c r="S193" s="130" t="str">
        <f t="shared" si="11"/>
        <v/>
      </c>
      <c r="T193" s="130" t="str">
        <f>IF(S193="","",J193/(POWER(1+'Qredits maandlasten'!$C$8,$B193-1+1)))</f>
        <v/>
      </c>
      <c r="U193" s="132" t="str">
        <f t="shared" si="14"/>
        <v/>
      </c>
      <c r="V193" s="130" t="str">
        <f>IF($B193="","",K193/(POWER(1+'Qredits maandlasten'!$C$8,$B193-1+1)))</f>
        <v/>
      </c>
      <c r="W193" s="129"/>
    </row>
    <row r="194" spans="1:23" s="134" customFormat="1" x14ac:dyDescent="0.2">
      <c r="A194" s="125"/>
      <c r="B194" s="126" t="str">
        <f>IF($B193="","",IF($B193+1&gt;'Qredits maandlasten'!$C$4,"",Schema!B193+1))</f>
        <v/>
      </c>
      <c r="C194" s="127" t="str">
        <f>IF($B193="","",IF($B193+1&gt;'Qredits maandlasten'!$C$4,"",EOMONTH(C193,0)+1))</f>
        <v/>
      </c>
      <c r="D194" s="125"/>
      <c r="E194" s="127" t="str">
        <f>IF($B193="","",IF($B193+1&gt;'Qredits maandlasten'!$C$4,"",F193+1))</f>
        <v/>
      </c>
      <c r="F194" s="127" t="str">
        <f>IF($B193="","",IF($B193+1&gt;'Qredits maandlasten'!$C$4,"",EOMONTH(E194,0)))</f>
        <v/>
      </c>
      <c r="G194" s="128" t="str">
        <f>IF($B193="","",IF($B193+1&gt;'Qredits maandlasten'!$C$4,"",(_xlfn.DAYS(F194,E194)+1)/DAY(F194)))</f>
        <v/>
      </c>
      <c r="H194" s="129"/>
      <c r="I194" s="130" t="str">
        <f>IF($B193="","",IF($B193+1&gt;'Qredits maandlasten'!$C$4,"",I193-J193))</f>
        <v/>
      </c>
      <c r="J194" s="130" t="str">
        <f>IF($B193="","",IF($B193+1&gt;'Qredits maandlasten'!$C$4,"",IF(B193&lt;'Qredits maandlasten'!$C$11-1,0,IF('Qredits maandlasten'!$C$10=dropdowns!$A$93,'Qredits maandlasten'!$J$3,IF('Qredits maandlasten'!$C$10=dropdowns!$A$92,IFERROR('Qredits maandlasten'!$J$3-K194,0),0)))))</f>
        <v/>
      </c>
      <c r="K194" s="130" t="str">
        <f>IF($B193="","",IF($B193+1&gt;'Qredits maandlasten'!$C$4,"",G194*I194*'Qredits maandlasten'!$C$8))</f>
        <v/>
      </c>
      <c r="L194" s="130" t="str">
        <f t="shared" si="12"/>
        <v/>
      </c>
      <c r="M194" s="130" t="str">
        <f t="shared" si="10"/>
        <v/>
      </c>
      <c r="N194" s="129"/>
      <c r="O194" s="131" t="str">
        <f>IF($B194="","",'Qredits maandlasten'!$C$8)</f>
        <v/>
      </c>
      <c r="P194" s="131" t="str">
        <f>IF($B194="","",'Qredits maandlasten'!$C$8*(POWER(1+'Qredits maandlasten'!$C$8,$B194-1+1)))</f>
        <v/>
      </c>
      <c r="Q194" s="131" t="str">
        <f t="shared" si="13"/>
        <v/>
      </c>
      <c r="R194" s="129"/>
      <c r="S194" s="130" t="str">
        <f t="shared" si="11"/>
        <v/>
      </c>
      <c r="T194" s="130" t="str">
        <f>IF(S194="","",J194/(POWER(1+'Qredits maandlasten'!$C$8,$B194-1+1)))</f>
        <v/>
      </c>
      <c r="U194" s="132" t="str">
        <f t="shared" si="14"/>
        <v/>
      </c>
      <c r="V194" s="130" t="str">
        <f>IF($B194="","",K194/(POWER(1+'Qredits maandlasten'!$C$8,$B194-1+1)))</f>
        <v/>
      </c>
      <c r="W194" s="129"/>
    </row>
    <row r="195" spans="1:23" s="134" customFormat="1" x14ac:dyDescent="0.2">
      <c r="A195" s="125"/>
      <c r="B195" s="126" t="str">
        <f>IF($B194="","",IF($B194+1&gt;'Qredits maandlasten'!$C$4,"",Schema!B194+1))</f>
        <v/>
      </c>
      <c r="C195" s="127" t="str">
        <f>IF($B194="","",IF($B194+1&gt;'Qredits maandlasten'!$C$4,"",EOMONTH(C194,0)+1))</f>
        <v/>
      </c>
      <c r="D195" s="125"/>
      <c r="E195" s="127" t="str">
        <f>IF($B194="","",IF($B194+1&gt;'Qredits maandlasten'!$C$4,"",F194+1))</f>
        <v/>
      </c>
      <c r="F195" s="127" t="str">
        <f>IF($B194="","",IF($B194+1&gt;'Qredits maandlasten'!$C$4,"",EOMONTH(E195,0)))</f>
        <v/>
      </c>
      <c r="G195" s="128" t="str">
        <f>IF($B194="","",IF($B194+1&gt;'Qredits maandlasten'!$C$4,"",(_xlfn.DAYS(F195,E195)+1)/DAY(F195)))</f>
        <v/>
      </c>
      <c r="H195" s="129"/>
      <c r="I195" s="130" t="str">
        <f>IF($B194="","",IF($B194+1&gt;'Qredits maandlasten'!$C$4,"",I194-J194))</f>
        <v/>
      </c>
      <c r="J195" s="130" t="str">
        <f>IF($B194="","",IF($B194+1&gt;'Qredits maandlasten'!$C$4,"",IF(B194&lt;'Qredits maandlasten'!$C$11-1,0,IF('Qredits maandlasten'!$C$10=dropdowns!$A$93,'Qredits maandlasten'!$J$3,IF('Qredits maandlasten'!$C$10=dropdowns!$A$92,IFERROR('Qredits maandlasten'!$J$3-K195,0),0)))))</f>
        <v/>
      </c>
      <c r="K195" s="130" t="str">
        <f>IF($B194="","",IF($B194+1&gt;'Qredits maandlasten'!$C$4,"",G195*I195*'Qredits maandlasten'!$C$8))</f>
        <v/>
      </c>
      <c r="L195" s="130" t="str">
        <f t="shared" si="12"/>
        <v/>
      </c>
      <c r="M195" s="130" t="str">
        <f t="shared" si="10"/>
        <v/>
      </c>
      <c r="N195" s="129"/>
      <c r="O195" s="131" t="str">
        <f>IF($B195="","",'Qredits maandlasten'!$C$8)</f>
        <v/>
      </c>
      <c r="P195" s="131" t="str">
        <f>IF($B195="","",'Qredits maandlasten'!$C$8*(POWER(1+'Qredits maandlasten'!$C$8,$B195-1+1)))</f>
        <v/>
      </c>
      <c r="Q195" s="131" t="str">
        <f t="shared" si="13"/>
        <v/>
      </c>
      <c r="R195" s="129"/>
      <c r="S195" s="130" t="str">
        <f t="shared" si="11"/>
        <v/>
      </c>
      <c r="T195" s="130" t="str">
        <f>IF(S195="","",J195/(POWER(1+'Qredits maandlasten'!$C$8,$B195-1+1)))</f>
        <v/>
      </c>
      <c r="U195" s="132" t="str">
        <f t="shared" si="14"/>
        <v/>
      </c>
      <c r="V195" s="130" t="str">
        <f>IF($B195="","",K195/(POWER(1+'Qredits maandlasten'!$C$8,$B195-1+1)))</f>
        <v/>
      </c>
      <c r="W195" s="129"/>
    </row>
    <row r="196" spans="1:23" s="134" customFormat="1" x14ac:dyDescent="0.2">
      <c r="A196" s="125"/>
      <c r="B196" s="126" t="str">
        <f>IF($B195="","",IF($B195+1&gt;'Qredits maandlasten'!$C$4,"",Schema!B195+1))</f>
        <v/>
      </c>
      <c r="C196" s="127" t="str">
        <f>IF($B195="","",IF($B195+1&gt;'Qredits maandlasten'!$C$4,"",EOMONTH(C195,0)+1))</f>
        <v/>
      </c>
      <c r="D196" s="125"/>
      <c r="E196" s="127" t="str">
        <f>IF($B195="","",IF($B195+1&gt;'Qredits maandlasten'!$C$4,"",F195+1))</f>
        <v/>
      </c>
      <c r="F196" s="127" t="str">
        <f>IF($B195="","",IF($B195+1&gt;'Qredits maandlasten'!$C$4,"",EOMONTH(E196,0)))</f>
        <v/>
      </c>
      <c r="G196" s="128" t="str">
        <f>IF($B195="","",IF($B195+1&gt;'Qredits maandlasten'!$C$4,"",(_xlfn.DAYS(F196,E196)+1)/DAY(F196)))</f>
        <v/>
      </c>
      <c r="H196" s="129"/>
      <c r="I196" s="130" t="str">
        <f>IF($B195="","",IF($B195+1&gt;'Qredits maandlasten'!$C$4,"",I195-J195))</f>
        <v/>
      </c>
      <c r="J196" s="130" t="str">
        <f>IF($B195="","",IF($B195+1&gt;'Qredits maandlasten'!$C$4,"",IF(B195&lt;'Qredits maandlasten'!$C$11-1,0,IF('Qredits maandlasten'!$C$10=dropdowns!$A$93,'Qredits maandlasten'!$J$3,IF('Qredits maandlasten'!$C$10=dropdowns!$A$92,IFERROR('Qredits maandlasten'!$J$3-K196,0),0)))))</f>
        <v/>
      </c>
      <c r="K196" s="130" t="str">
        <f>IF($B195="","",IF($B195+1&gt;'Qredits maandlasten'!$C$4,"",G196*I196*'Qredits maandlasten'!$C$8))</f>
        <v/>
      </c>
      <c r="L196" s="130" t="str">
        <f t="shared" si="12"/>
        <v/>
      </c>
      <c r="M196" s="130" t="str">
        <f t="shared" si="10"/>
        <v/>
      </c>
      <c r="N196" s="129"/>
      <c r="O196" s="131" t="str">
        <f>IF($B196="","",'Qredits maandlasten'!$C$8)</f>
        <v/>
      </c>
      <c r="P196" s="131" t="str">
        <f>IF($B196="","",'Qredits maandlasten'!$C$8*(POWER(1+'Qredits maandlasten'!$C$8,$B196-1+1)))</f>
        <v/>
      </c>
      <c r="Q196" s="131" t="str">
        <f t="shared" si="13"/>
        <v/>
      </c>
      <c r="R196" s="129"/>
      <c r="S196" s="130" t="str">
        <f t="shared" si="11"/>
        <v/>
      </c>
      <c r="T196" s="130" t="str">
        <f>IF(S196="","",J196/(POWER(1+'Qredits maandlasten'!$C$8,$B196-1+1)))</f>
        <v/>
      </c>
      <c r="U196" s="132" t="str">
        <f t="shared" si="14"/>
        <v/>
      </c>
      <c r="V196" s="130" t="str">
        <f>IF($B196="","",K196/(POWER(1+'Qredits maandlasten'!$C$8,$B196-1+1)))</f>
        <v/>
      </c>
      <c r="W196" s="129"/>
    </row>
    <row r="197" spans="1:23" s="134" customFormat="1" x14ac:dyDescent="0.2">
      <c r="A197" s="125"/>
      <c r="B197" s="126" t="str">
        <f>IF($B196="","",IF($B196+1&gt;'Qredits maandlasten'!$C$4,"",Schema!B196+1))</f>
        <v/>
      </c>
      <c r="C197" s="127" t="str">
        <f>IF($B196="","",IF($B196+1&gt;'Qredits maandlasten'!$C$4,"",EOMONTH(C196,0)+1))</f>
        <v/>
      </c>
      <c r="D197" s="125"/>
      <c r="E197" s="127" t="str">
        <f>IF($B196="","",IF($B196+1&gt;'Qredits maandlasten'!$C$4,"",F196+1))</f>
        <v/>
      </c>
      <c r="F197" s="127" t="str">
        <f>IF($B196="","",IF($B196+1&gt;'Qredits maandlasten'!$C$4,"",EOMONTH(E197,0)))</f>
        <v/>
      </c>
      <c r="G197" s="128" t="str">
        <f>IF($B196="","",IF($B196+1&gt;'Qredits maandlasten'!$C$4,"",(_xlfn.DAYS(F197,E197)+1)/DAY(F197)))</f>
        <v/>
      </c>
      <c r="H197" s="129"/>
      <c r="I197" s="130" t="str">
        <f>IF($B196="","",IF($B196+1&gt;'Qredits maandlasten'!$C$4,"",I196-J196))</f>
        <v/>
      </c>
      <c r="J197" s="130" t="str">
        <f>IF($B196="","",IF($B196+1&gt;'Qredits maandlasten'!$C$4,"",IF(B196&lt;'Qredits maandlasten'!$C$11-1,0,IF('Qredits maandlasten'!$C$10=dropdowns!$A$93,'Qredits maandlasten'!$J$3,IF('Qredits maandlasten'!$C$10=dropdowns!$A$92,IFERROR('Qredits maandlasten'!$J$3-K197,0),0)))))</f>
        <v/>
      </c>
      <c r="K197" s="130" t="str">
        <f>IF($B196="","",IF($B196+1&gt;'Qredits maandlasten'!$C$4,"",G197*I197*'Qredits maandlasten'!$C$8))</f>
        <v/>
      </c>
      <c r="L197" s="130" t="str">
        <f t="shared" si="12"/>
        <v/>
      </c>
      <c r="M197" s="130" t="str">
        <f t="shared" si="10"/>
        <v/>
      </c>
      <c r="N197" s="129"/>
      <c r="O197" s="131" t="str">
        <f>IF($B197="","",'Qredits maandlasten'!$C$8)</f>
        <v/>
      </c>
      <c r="P197" s="131" t="str">
        <f>IF($B197="","",'Qredits maandlasten'!$C$8*(POWER(1+'Qredits maandlasten'!$C$8,$B197-1+1)))</f>
        <v/>
      </c>
      <c r="Q197" s="131" t="str">
        <f t="shared" si="13"/>
        <v/>
      </c>
      <c r="R197" s="129"/>
      <c r="S197" s="130" t="str">
        <f t="shared" si="11"/>
        <v/>
      </c>
      <c r="T197" s="130" t="str">
        <f>IF(S197="","",J197/(POWER(1+'Qredits maandlasten'!$C$8,$B197-1+1)))</f>
        <v/>
      </c>
      <c r="U197" s="132" t="str">
        <f t="shared" si="14"/>
        <v/>
      </c>
      <c r="V197" s="130" t="str">
        <f>IF($B197="","",K197/(POWER(1+'Qredits maandlasten'!$C$8,$B197-1+1)))</f>
        <v/>
      </c>
      <c r="W197" s="129"/>
    </row>
    <row r="198" spans="1:23" s="134" customFormat="1" x14ac:dyDescent="0.2">
      <c r="A198" s="125"/>
      <c r="B198" s="126" t="str">
        <f>IF($B197="","",IF($B197+1&gt;'Qredits maandlasten'!$C$4,"",Schema!B197+1))</f>
        <v/>
      </c>
      <c r="C198" s="127" t="str">
        <f>IF($B197="","",IF($B197+1&gt;'Qredits maandlasten'!$C$4,"",EOMONTH(C197,0)+1))</f>
        <v/>
      </c>
      <c r="D198" s="125"/>
      <c r="E198" s="127" t="str">
        <f>IF($B197="","",IF($B197+1&gt;'Qredits maandlasten'!$C$4,"",F197+1))</f>
        <v/>
      </c>
      <c r="F198" s="127" t="str">
        <f>IF($B197="","",IF($B197+1&gt;'Qredits maandlasten'!$C$4,"",EOMONTH(E198,0)))</f>
        <v/>
      </c>
      <c r="G198" s="128" t="str">
        <f>IF($B197="","",IF($B197+1&gt;'Qredits maandlasten'!$C$4,"",(_xlfn.DAYS(F198,E198)+1)/DAY(F198)))</f>
        <v/>
      </c>
      <c r="H198" s="129"/>
      <c r="I198" s="130" t="str">
        <f>IF($B197="","",IF($B197+1&gt;'Qredits maandlasten'!$C$4,"",I197-J197))</f>
        <v/>
      </c>
      <c r="J198" s="130" t="str">
        <f>IF($B197="","",IF($B197+1&gt;'Qredits maandlasten'!$C$4,"",IF(B197&lt;'Qredits maandlasten'!$C$11-1,0,IF('Qredits maandlasten'!$C$10=dropdowns!$A$93,'Qredits maandlasten'!$J$3,IF('Qredits maandlasten'!$C$10=dropdowns!$A$92,IFERROR('Qredits maandlasten'!$J$3-K198,0),0)))))</f>
        <v/>
      </c>
      <c r="K198" s="130" t="str">
        <f>IF($B197="","",IF($B197+1&gt;'Qredits maandlasten'!$C$4,"",G198*I198*'Qredits maandlasten'!$C$8))</f>
        <v/>
      </c>
      <c r="L198" s="130" t="str">
        <f t="shared" si="12"/>
        <v/>
      </c>
      <c r="M198" s="130" t="str">
        <f t="shared" si="10"/>
        <v/>
      </c>
      <c r="N198" s="129"/>
      <c r="O198" s="131" t="str">
        <f>IF($B198="","",'Qredits maandlasten'!$C$8)</f>
        <v/>
      </c>
      <c r="P198" s="131" t="str">
        <f>IF($B198="","",'Qredits maandlasten'!$C$8*(POWER(1+'Qredits maandlasten'!$C$8,$B198-1+1)))</f>
        <v/>
      </c>
      <c r="Q198" s="131" t="str">
        <f t="shared" si="13"/>
        <v/>
      </c>
      <c r="R198" s="129"/>
      <c r="S198" s="130" t="str">
        <f t="shared" si="11"/>
        <v/>
      </c>
      <c r="T198" s="130" t="str">
        <f>IF(S198="","",J198/(POWER(1+'Qredits maandlasten'!$C$8,$B198-1+1)))</f>
        <v/>
      </c>
      <c r="U198" s="132" t="str">
        <f t="shared" si="14"/>
        <v/>
      </c>
      <c r="V198" s="130" t="str">
        <f>IF($B198="","",K198/(POWER(1+'Qredits maandlasten'!$C$8,$B198-1+1)))</f>
        <v/>
      </c>
      <c r="W198" s="129"/>
    </row>
    <row r="199" spans="1:23" s="134" customFormat="1" x14ac:dyDescent="0.2">
      <c r="A199" s="125"/>
      <c r="B199" s="126" t="str">
        <f>IF($B198="","",IF($B198+1&gt;'Qredits maandlasten'!$C$4,"",Schema!B198+1))</f>
        <v/>
      </c>
      <c r="C199" s="127" t="str">
        <f>IF($B198="","",IF($B198+1&gt;'Qredits maandlasten'!$C$4,"",EOMONTH(C198,0)+1))</f>
        <v/>
      </c>
      <c r="D199" s="125"/>
      <c r="E199" s="127" t="str">
        <f>IF($B198="","",IF($B198+1&gt;'Qredits maandlasten'!$C$4,"",F198+1))</f>
        <v/>
      </c>
      <c r="F199" s="127" t="str">
        <f>IF($B198="","",IF($B198+1&gt;'Qredits maandlasten'!$C$4,"",EOMONTH(E199,0)))</f>
        <v/>
      </c>
      <c r="G199" s="128" t="str">
        <f>IF($B198="","",IF($B198+1&gt;'Qredits maandlasten'!$C$4,"",(_xlfn.DAYS(F199,E199)+1)/DAY(F199)))</f>
        <v/>
      </c>
      <c r="H199" s="129"/>
      <c r="I199" s="130" t="str">
        <f>IF($B198="","",IF($B198+1&gt;'Qredits maandlasten'!$C$4,"",I198-J198))</f>
        <v/>
      </c>
      <c r="J199" s="130" t="str">
        <f>IF($B198="","",IF($B198+1&gt;'Qredits maandlasten'!$C$4,"",IF(B198&lt;'Qredits maandlasten'!$C$11-1,0,IF('Qredits maandlasten'!$C$10=dropdowns!$A$93,'Qredits maandlasten'!$J$3,IF('Qredits maandlasten'!$C$10=dropdowns!$A$92,IFERROR('Qredits maandlasten'!$J$3-K199,0),0)))))</f>
        <v/>
      </c>
      <c r="K199" s="130" t="str">
        <f>IF($B198="","",IF($B198+1&gt;'Qredits maandlasten'!$C$4,"",G199*I199*'Qredits maandlasten'!$C$8))</f>
        <v/>
      </c>
      <c r="L199" s="130" t="str">
        <f t="shared" si="12"/>
        <v/>
      </c>
      <c r="M199" s="130" t="str">
        <f t="shared" si="10"/>
        <v/>
      </c>
      <c r="N199" s="129"/>
      <c r="O199" s="131" t="str">
        <f>IF($B199="","",'Qredits maandlasten'!$C$8)</f>
        <v/>
      </c>
      <c r="P199" s="131" t="str">
        <f>IF($B199="","",'Qredits maandlasten'!$C$8*(POWER(1+'Qredits maandlasten'!$C$8,$B199-1+1)))</f>
        <v/>
      </c>
      <c r="Q199" s="131" t="str">
        <f t="shared" si="13"/>
        <v/>
      </c>
      <c r="R199" s="129"/>
      <c r="S199" s="130" t="str">
        <f t="shared" si="11"/>
        <v/>
      </c>
      <c r="T199" s="130" t="str">
        <f>IF(S199="","",J199/(POWER(1+'Qredits maandlasten'!$C$8,$B199-1+1)))</f>
        <v/>
      </c>
      <c r="U199" s="132" t="str">
        <f t="shared" si="14"/>
        <v/>
      </c>
      <c r="V199" s="130" t="str">
        <f>IF($B199="","",K199/(POWER(1+'Qredits maandlasten'!$C$8,$B199-1+1)))</f>
        <v/>
      </c>
      <c r="W199" s="129"/>
    </row>
    <row r="200" spans="1:23" s="134" customFormat="1" x14ac:dyDescent="0.2">
      <c r="A200" s="125"/>
      <c r="B200" s="126" t="str">
        <f>IF($B199="","",IF($B199+1&gt;'Qredits maandlasten'!$C$4,"",Schema!B199+1))</f>
        <v/>
      </c>
      <c r="C200" s="127" t="str">
        <f>IF($B199="","",IF($B199+1&gt;'Qredits maandlasten'!$C$4,"",EOMONTH(C199,0)+1))</f>
        <v/>
      </c>
      <c r="D200" s="125"/>
      <c r="E200" s="127" t="str">
        <f>IF($B199="","",IF($B199+1&gt;'Qredits maandlasten'!$C$4,"",F199+1))</f>
        <v/>
      </c>
      <c r="F200" s="127" t="str">
        <f>IF($B199="","",IF($B199+1&gt;'Qredits maandlasten'!$C$4,"",EOMONTH(E200,0)))</f>
        <v/>
      </c>
      <c r="G200" s="128" t="str">
        <f>IF($B199="","",IF($B199+1&gt;'Qredits maandlasten'!$C$4,"",(_xlfn.DAYS(F200,E200)+1)/DAY(F200)))</f>
        <v/>
      </c>
      <c r="H200" s="129"/>
      <c r="I200" s="130" t="str">
        <f>IF($B199="","",IF($B199+1&gt;'Qredits maandlasten'!$C$4,"",I199-J199))</f>
        <v/>
      </c>
      <c r="J200" s="130" t="str">
        <f>IF($B199="","",IF($B199+1&gt;'Qredits maandlasten'!$C$4,"",IF(B199&lt;'Qredits maandlasten'!$C$11-1,0,IF('Qredits maandlasten'!$C$10=dropdowns!$A$93,'Qredits maandlasten'!$J$3,IF('Qredits maandlasten'!$C$10=dropdowns!$A$92,IFERROR('Qredits maandlasten'!$J$3-K200,0),0)))))</f>
        <v/>
      </c>
      <c r="K200" s="130" t="str">
        <f>IF($B199="","",IF($B199+1&gt;'Qredits maandlasten'!$C$4,"",G200*I200*'Qredits maandlasten'!$C$8))</f>
        <v/>
      </c>
      <c r="L200" s="130" t="str">
        <f t="shared" si="12"/>
        <v/>
      </c>
      <c r="M200" s="130" t="str">
        <f t="shared" si="10"/>
        <v/>
      </c>
      <c r="N200" s="129"/>
      <c r="O200" s="131" t="str">
        <f>IF($B200="","",'Qredits maandlasten'!$C$8)</f>
        <v/>
      </c>
      <c r="P200" s="131" t="str">
        <f>IF($B200="","",'Qredits maandlasten'!$C$8*(POWER(1+'Qredits maandlasten'!$C$8,$B200-1+1)))</f>
        <v/>
      </c>
      <c r="Q200" s="131" t="str">
        <f t="shared" si="13"/>
        <v/>
      </c>
      <c r="R200" s="129"/>
      <c r="S200" s="130" t="str">
        <f t="shared" si="11"/>
        <v/>
      </c>
      <c r="T200" s="130" t="str">
        <f>IF(S200="","",J200/(POWER(1+'Qredits maandlasten'!$C$8,$B200-1+1)))</f>
        <v/>
      </c>
      <c r="U200" s="132" t="str">
        <f t="shared" si="14"/>
        <v/>
      </c>
      <c r="V200" s="130" t="str">
        <f>IF($B200="","",K200/(POWER(1+'Qredits maandlasten'!$C$8,$B200-1+1)))</f>
        <v/>
      </c>
      <c r="W200" s="129"/>
    </row>
    <row r="201" spans="1:23" s="134" customFormat="1" x14ac:dyDescent="0.2">
      <c r="A201" s="125"/>
      <c r="B201" s="126" t="str">
        <f>IF($B200="","",IF($B200+1&gt;'Qredits maandlasten'!$C$4,"",Schema!B200+1))</f>
        <v/>
      </c>
      <c r="C201" s="127" t="str">
        <f>IF($B200="","",IF($B200+1&gt;'Qredits maandlasten'!$C$4,"",EOMONTH(C200,0)+1))</f>
        <v/>
      </c>
      <c r="D201" s="125"/>
      <c r="E201" s="127" t="str">
        <f>IF($B200="","",IF($B200+1&gt;'Qredits maandlasten'!$C$4,"",F200+1))</f>
        <v/>
      </c>
      <c r="F201" s="127" t="str">
        <f>IF($B200="","",IF($B200+1&gt;'Qredits maandlasten'!$C$4,"",EOMONTH(E201,0)))</f>
        <v/>
      </c>
      <c r="G201" s="128" t="str">
        <f>IF($B200="","",IF($B200+1&gt;'Qredits maandlasten'!$C$4,"",(_xlfn.DAYS(F201,E201)+1)/DAY(F201)))</f>
        <v/>
      </c>
      <c r="H201" s="129"/>
      <c r="I201" s="130" t="str">
        <f>IF($B200="","",IF($B200+1&gt;'Qredits maandlasten'!$C$4,"",I200-J200))</f>
        <v/>
      </c>
      <c r="J201" s="130" t="str">
        <f>IF($B200="","",IF($B200+1&gt;'Qredits maandlasten'!$C$4,"",IF(B200&lt;'Qredits maandlasten'!$C$11-1,0,IF('Qredits maandlasten'!$C$10=dropdowns!$A$93,'Qredits maandlasten'!$J$3,IF('Qredits maandlasten'!$C$10=dropdowns!$A$92,IFERROR('Qredits maandlasten'!$J$3-K201,0),0)))))</f>
        <v/>
      </c>
      <c r="K201" s="130" t="str">
        <f>IF($B200="","",IF($B200+1&gt;'Qredits maandlasten'!$C$4,"",G201*I201*'Qredits maandlasten'!$C$8))</f>
        <v/>
      </c>
      <c r="L201" s="130" t="str">
        <f t="shared" si="12"/>
        <v/>
      </c>
      <c r="M201" s="130" t="str">
        <f t="shared" si="10"/>
        <v/>
      </c>
      <c r="N201" s="129"/>
      <c r="O201" s="131" t="str">
        <f>IF($B201="","",'Qredits maandlasten'!$C$8)</f>
        <v/>
      </c>
      <c r="P201" s="131" t="str">
        <f>IF($B201="","",'Qredits maandlasten'!$C$8*(POWER(1+'Qredits maandlasten'!$C$8,$B201-1+1)))</f>
        <v/>
      </c>
      <c r="Q201" s="131" t="str">
        <f t="shared" si="13"/>
        <v/>
      </c>
      <c r="R201" s="129"/>
      <c r="S201" s="130" t="str">
        <f t="shared" si="11"/>
        <v/>
      </c>
      <c r="T201" s="130" t="str">
        <f>IF(S201="","",J201/(POWER(1+'Qredits maandlasten'!$C$8,$B201-1+1)))</f>
        <v/>
      </c>
      <c r="U201" s="132" t="str">
        <f t="shared" si="14"/>
        <v/>
      </c>
      <c r="V201" s="130" t="str">
        <f>IF($B201="","",K201/(POWER(1+'Qredits maandlasten'!$C$8,$B201-1+1)))</f>
        <v/>
      </c>
      <c r="W201" s="129"/>
    </row>
    <row r="202" spans="1:23" s="134" customFormat="1" x14ac:dyDescent="0.2">
      <c r="A202" s="125"/>
      <c r="B202" s="126" t="str">
        <f>IF($B201="","",IF($B201+1&gt;'Qredits maandlasten'!$C$4,"",Schema!B201+1))</f>
        <v/>
      </c>
      <c r="C202" s="127" t="str">
        <f>IF($B201="","",IF($B201+1&gt;'Qredits maandlasten'!$C$4,"",EOMONTH(C201,0)+1))</f>
        <v/>
      </c>
      <c r="D202" s="125"/>
      <c r="E202" s="127" t="str">
        <f>IF($B201="","",IF($B201+1&gt;'Qredits maandlasten'!$C$4,"",F201+1))</f>
        <v/>
      </c>
      <c r="F202" s="127" t="str">
        <f>IF($B201="","",IF($B201+1&gt;'Qredits maandlasten'!$C$4,"",EOMONTH(E202,0)))</f>
        <v/>
      </c>
      <c r="G202" s="128" t="str">
        <f>IF($B201="","",IF($B201+1&gt;'Qredits maandlasten'!$C$4,"",(_xlfn.DAYS(F202,E202)+1)/DAY(F202)))</f>
        <v/>
      </c>
      <c r="H202" s="129"/>
      <c r="I202" s="130" t="str">
        <f>IF($B201="","",IF($B201+1&gt;'Qredits maandlasten'!$C$4,"",I201-J201))</f>
        <v/>
      </c>
      <c r="J202" s="130" t="str">
        <f>IF($B201="","",IF($B201+1&gt;'Qredits maandlasten'!$C$4,"",IF(B201&lt;'Qredits maandlasten'!$C$11-1,0,IF('Qredits maandlasten'!$C$10=dropdowns!$A$93,'Qredits maandlasten'!$J$3,IF('Qredits maandlasten'!$C$10=dropdowns!$A$92,IFERROR('Qredits maandlasten'!$J$3-K202,0),0)))))</f>
        <v/>
      </c>
      <c r="K202" s="130" t="str">
        <f>IF($B201="","",IF($B201+1&gt;'Qredits maandlasten'!$C$4,"",G202*I202*'Qredits maandlasten'!$C$8))</f>
        <v/>
      </c>
      <c r="L202" s="130" t="str">
        <f t="shared" si="12"/>
        <v/>
      </c>
      <c r="M202" s="130" t="str">
        <f t="shared" ref="M202:M265" si="15">IF(S202="","",-K202-J202)</f>
        <v/>
      </c>
      <c r="N202" s="129"/>
      <c r="O202" s="131" t="str">
        <f>IF($B202="","",'Qredits maandlasten'!$C$8)</f>
        <v/>
      </c>
      <c r="P202" s="131" t="str">
        <f>IF($B202="","",'Qredits maandlasten'!$C$8*(POWER(1+'Qredits maandlasten'!$C$8,$B202-1+1)))</f>
        <v/>
      </c>
      <c r="Q202" s="131" t="str">
        <f t="shared" si="13"/>
        <v/>
      </c>
      <c r="R202" s="129"/>
      <c r="S202" s="130" t="str">
        <f t="shared" ref="S202:S265" si="16">IF(B202="","",IF(S201-T201&lt;0,"",S201-T201))</f>
        <v/>
      </c>
      <c r="T202" s="130" t="str">
        <f>IF(S202="","",J202/(POWER(1+'Qredits maandlasten'!$C$8,$B202-1+1)))</f>
        <v/>
      </c>
      <c r="U202" s="132" t="str">
        <f t="shared" si="14"/>
        <v/>
      </c>
      <c r="V202" s="130" t="str">
        <f>IF($B202="","",K202/(POWER(1+'Qredits maandlasten'!$C$8,$B202-1+1)))</f>
        <v/>
      </c>
      <c r="W202" s="129"/>
    </row>
    <row r="203" spans="1:23" s="134" customFormat="1" x14ac:dyDescent="0.2">
      <c r="A203" s="125"/>
      <c r="B203" s="126" t="str">
        <f>IF($B202="","",IF($B202+1&gt;'Qredits maandlasten'!$C$4,"",Schema!B202+1))</f>
        <v/>
      </c>
      <c r="C203" s="127" t="str">
        <f>IF($B202="","",IF($B202+1&gt;'Qredits maandlasten'!$C$4,"",EOMONTH(C202,0)+1))</f>
        <v/>
      </c>
      <c r="D203" s="125"/>
      <c r="E203" s="127" t="str">
        <f>IF($B202="","",IF($B202+1&gt;'Qredits maandlasten'!$C$4,"",F202+1))</f>
        <v/>
      </c>
      <c r="F203" s="127" t="str">
        <f>IF($B202="","",IF($B202+1&gt;'Qredits maandlasten'!$C$4,"",EOMONTH(E203,0)))</f>
        <v/>
      </c>
      <c r="G203" s="128" t="str">
        <f>IF($B202="","",IF($B202+1&gt;'Qredits maandlasten'!$C$4,"",(_xlfn.DAYS(F203,E203)+1)/DAY(F203)))</f>
        <v/>
      </c>
      <c r="H203" s="129"/>
      <c r="I203" s="130" t="str">
        <f>IF($B202="","",IF($B202+1&gt;'Qredits maandlasten'!$C$4,"",I202-J202))</f>
        <v/>
      </c>
      <c r="J203" s="130" t="str">
        <f>IF($B202="","",IF($B202+1&gt;'Qredits maandlasten'!$C$4,"",IF(B202&lt;'Qredits maandlasten'!$C$11-1,0,IF('Qredits maandlasten'!$C$10=dropdowns!$A$93,'Qredits maandlasten'!$J$3,IF('Qredits maandlasten'!$C$10=dropdowns!$A$92,IFERROR('Qredits maandlasten'!$J$3-K203,0),0)))))</f>
        <v/>
      </c>
      <c r="K203" s="130" t="str">
        <f>IF($B202="","",IF($B202+1&gt;'Qredits maandlasten'!$C$4,"",G203*I203*'Qredits maandlasten'!$C$8))</f>
        <v/>
      </c>
      <c r="L203" s="130" t="str">
        <f t="shared" ref="L203:L266" si="17">IF(S203="","",-K203-J203)</f>
        <v/>
      </c>
      <c r="M203" s="130" t="str">
        <f t="shared" si="15"/>
        <v/>
      </c>
      <c r="N203" s="129"/>
      <c r="O203" s="131" t="str">
        <f>IF($B203="","",'Qredits maandlasten'!$C$8)</f>
        <v/>
      </c>
      <c r="P203" s="131" t="str">
        <f>IF($B203="","",'Qredits maandlasten'!$C$8*(POWER(1+'Qredits maandlasten'!$C$8,$B203-1+1)))</f>
        <v/>
      </c>
      <c r="Q203" s="131" t="str">
        <f t="shared" ref="Q203:Q266" si="18">IF($B203="","",IFERROR(J203/T203-1,0))</f>
        <v/>
      </c>
      <c r="R203" s="129"/>
      <c r="S203" s="130" t="str">
        <f t="shared" si="16"/>
        <v/>
      </c>
      <c r="T203" s="130" t="str">
        <f>IF(S203="","",J203/(POWER(1+'Qredits maandlasten'!$C$8,$B203-1+1)))</f>
        <v/>
      </c>
      <c r="U203" s="132" t="str">
        <f t="shared" ref="U203:U266" si="19">IF(S203="","",T203+V203)</f>
        <v/>
      </c>
      <c r="V203" s="130" t="str">
        <f>IF($B203="","",K203/(POWER(1+'Qredits maandlasten'!$C$8,$B203-1+1)))</f>
        <v/>
      </c>
      <c r="W203" s="129"/>
    </row>
    <row r="204" spans="1:23" s="134" customFormat="1" x14ac:dyDescent="0.2">
      <c r="A204" s="125"/>
      <c r="B204" s="126" t="str">
        <f>IF($B203="","",IF($B203+1&gt;'Qredits maandlasten'!$C$4,"",Schema!B203+1))</f>
        <v/>
      </c>
      <c r="C204" s="127" t="str">
        <f>IF($B203="","",IF($B203+1&gt;'Qredits maandlasten'!$C$4,"",EOMONTH(C203,0)+1))</f>
        <v/>
      </c>
      <c r="D204" s="125"/>
      <c r="E204" s="127" t="str">
        <f>IF($B203="","",IF($B203+1&gt;'Qredits maandlasten'!$C$4,"",F203+1))</f>
        <v/>
      </c>
      <c r="F204" s="127" t="str">
        <f>IF($B203="","",IF($B203+1&gt;'Qredits maandlasten'!$C$4,"",EOMONTH(E204,0)))</f>
        <v/>
      </c>
      <c r="G204" s="128" t="str">
        <f>IF($B203="","",IF($B203+1&gt;'Qredits maandlasten'!$C$4,"",(_xlfn.DAYS(F204,E204)+1)/DAY(F204)))</f>
        <v/>
      </c>
      <c r="H204" s="129"/>
      <c r="I204" s="130" t="str">
        <f>IF($B203="","",IF($B203+1&gt;'Qredits maandlasten'!$C$4,"",I203-J203))</f>
        <v/>
      </c>
      <c r="J204" s="130" t="str">
        <f>IF($B203="","",IF($B203+1&gt;'Qredits maandlasten'!$C$4,"",IF(B203&lt;'Qredits maandlasten'!$C$11-1,0,IF('Qredits maandlasten'!$C$10=dropdowns!$A$93,'Qredits maandlasten'!$J$3,IF('Qredits maandlasten'!$C$10=dropdowns!$A$92,IFERROR('Qredits maandlasten'!$J$3-K204,0),0)))))</f>
        <v/>
      </c>
      <c r="K204" s="130" t="str">
        <f>IF($B203="","",IF($B203+1&gt;'Qredits maandlasten'!$C$4,"",G204*I204*'Qredits maandlasten'!$C$8))</f>
        <v/>
      </c>
      <c r="L204" s="130" t="str">
        <f t="shared" si="17"/>
        <v/>
      </c>
      <c r="M204" s="130" t="str">
        <f t="shared" si="15"/>
        <v/>
      </c>
      <c r="N204" s="129"/>
      <c r="O204" s="131" t="str">
        <f>IF($B204="","",'Qredits maandlasten'!$C$8)</f>
        <v/>
      </c>
      <c r="P204" s="131" t="str">
        <f>IF($B204="","",'Qredits maandlasten'!$C$8*(POWER(1+'Qredits maandlasten'!$C$8,$B204-1+1)))</f>
        <v/>
      </c>
      <c r="Q204" s="131" t="str">
        <f t="shared" si="18"/>
        <v/>
      </c>
      <c r="R204" s="129"/>
      <c r="S204" s="130" t="str">
        <f t="shared" si="16"/>
        <v/>
      </c>
      <c r="T204" s="130" t="str">
        <f>IF(S204="","",J204/(POWER(1+'Qredits maandlasten'!$C$8,$B204-1+1)))</f>
        <v/>
      </c>
      <c r="U204" s="132" t="str">
        <f t="shared" si="19"/>
        <v/>
      </c>
      <c r="V204" s="130" t="str">
        <f>IF($B204="","",K204/(POWER(1+'Qredits maandlasten'!$C$8,$B204-1+1)))</f>
        <v/>
      </c>
      <c r="W204" s="129"/>
    </row>
    <row r="205" spans="1:23" s="134" customFormat="1" x14ac:dyDescent="0.2">
      <c r="A205" s="125"/>
      <c r="B205" s="126" t="str">
        <f>IF($B204="","",IF($B204+1&gt;'Qredits maandlasten'!$C$4,"",Schema!B204+1))</f>
        <v/>
      </c>
      <c r="C205" s="127" t="str">
        <f>IF($B204="","",IF($B204+1&gt;'Qredits maandlasten'!$C$4,"",EOMONTH(C204,0)+1))</f>
        <v/>
      </c>
      <c r="D205" s="125"/>
      <c r="E205" s="127" t="str">
        <f>IF($B204="","",IF($B204+1&gt;'Qredits maandlasten'!$C$4,"",F204+1))</f>
        <v/>
      </c>
      <c r="F205" s="127" t="str">
        <f>IF($B204="","",IF($B204+1&gt;'Qredits maandlasten'!$C$4,"",EOMONTH(E205,0)))</f>
        <v/>
      </c>
      <c r="G205" s="128" t="str">
        <f>IF($B204="","",IF($B204+1&gt;'Qredits maandlasten'!$C$4,"",(_xlfn.DAYS(F205,E205)+1)/DAY(F205)))</f>
        <v/>
      </c>
      <c r="H205" s="129"/>
      <c r="I205" s="130" t="str">
        <f>IF($B204="","",IF($B204+1&gt;'Qredits maandlasten'!$C$4,"",I204-J204))</f>
        <v/>
      </c>
      <c r="J205" s="130" t="str">
        <f>IF($B204="","",IF($B204+1&gt;'Qredits maandlasten'!$C$4,"",IF(B204&lt;'Qredits maandlasten'!$C$11-1,0,IF('Qredits maandlasten'!$C$10=dropdowns!$A$93,'Qredits maandlasten'!$J$3,IF('Qredits maandlasten'!$C$10=dropdowns!$A$92,IFERROR('Qredits maandlasten'!$J$3-K205,0),0)))))</f>
        <v/>
      </c>
      <c r="K205" s="130" t="str">
        <f>IF($B204="","",IF($B204+1&gt;'Qredits maandlasten'!$C$4,"",G205*I205*'Qredits maandlasten'!$C$8))</f>
        <v/>
      </c>
      <c r="L205" s="130" t="str">
        <f t="shared" si="17"/>
        <v/>
      </c>
      <c r="M205" s="130" t="str">
        <f t="shared" si="15"/>
        <v/>
      </c>
      <c r="N205" s="129"/>
      <c r="O205" s="131" t="str">
        <f>IF($B205="","",'Qredits maandlasten'!$C$8)</f>
        <v/>
      </c>
      <c r="P205" s="131" t="str">
        <f>IF($B205="","",'Qredits maandlasten'!$C$8*(POWER(1+'Qredits maandlasten'!$C$8,$B205-1+1)))</f>
        <v/>
      </c>
      <c r="Q205" s="131" t="str">
        <f t="shared" si="18"/>
        <v/>
      </c>
      <c r="R205" s="129"/>
      <c r="S205" s="130" t="str">
        <f t="shared" si="16"/>
        <v/>
      </c>
      <c r="T205" s="130" t="str">
        <f>IF(S205="","",J205/(POWER(1+'Qredits maandlasten'!$C$8,$B205-1+1)))</f>
        <v/>
      </c>
      <c r="U205" s="132" t="str">
        <f t="shared" si="19"/>
        <v/>
      </c>
      <c r="V205" s="130" t="str">
        <f>IF($B205="","",K205/(POWER(1+'Qredits maandlasten'!$C$8,$B205-1+1)))</f>
        <v/>
      </c>
      <c r="W205" s="129"/>
    </row>
    <row r="206" spans="1:23" s="134" customFormat="1" x14ac:dyDescent="0.2">
      <c r="A206" s="125"/>
      <c r="B206" s="126" t="str">
        <f>IF($B205="","",IF($B205+1&gt;'Qredits maandlasten'!$C$4,"",Schema!B205+1))</f>
        <v/>
      </c>
      <c r="C206" s="127" t="str">
        <f>IF($B205="","",IF($B205+1&gt;'Qredits maandlasten'!$C$4,"",EOMONTH(C205,0)+1))</f>
        <v/>
      </c>
      <c r="D206" s="125"/>
      <c r="E206" s="127" t="str">
        <f>IF($B205="","",IF($B205+1&gt;'Qredits maandlasten'!$C$4,"",F205+1))</f>
        <v/>
      </c>
      <c r="F206" s="127" t="str">
        <f>IF($B205="","",IF($B205+1&gt;'Qredits maandlasten'!$C$4,"",EOMONTH(E206,0)))</f>
        <v/>
      </c>
      <c r="G206" s="128" t="str">
        <f>IF($B205="","",IF($B205+1&gt;'Qredits maandlasten'!$C$4,"",(_xlfn.DAYS(F206,E206)+1)/DAY(F206)))</f>
        <v/>
      </c>
      <c r="H206" s="129"/>
      <c r="I206" s="130" t="str">
        <f>IF($B205="","",IF($B205+1&gt;'Qredits maandlasten'!$C$4,"",I205-J205))</f>
        <v/>
      </c>
      <c r="J206" s="130" t="str">
        <f>IF($B205="","",IF($B205+1&gt;'Qredits maandlasten'!$C$4,"",IF(B205&lt;'Qredits maandlasten'!$C$11-1,0,IF('Qredits maandlasten'!$C$10=dropdowns!$A$93,'Qredits maandlasten'!$J$3,IF('Qredits maandlasten'!$C$10=dropdowns!$A$92,IFERROR('Qredits maandlasten'!$J$3-K206,0),0)))))</f>
        <v/>
      </c>
      <c r="K206" s="130" t="str">
        <f>IF($B205="","",IF($B205+1&gt;'Qredits maandlasten'!$C$4,"",G206*I206*'Qredits maandlasten'!$C$8))</f>
        <v/>
      </c>
      <c r="L206" s="130" t="str">
        <f t="shared" si="17"/>
        <v/>
      </c>
      <c r="M206" s="130" t="str">
        <f t="shared" si="15"/>
        <v/>
      </c>
      <c r="N206" s="129"/>
      <c r="O206" s="131" t="str">
        <f>IF($B206="","",'Qredits maandlasten'!$C$8)</f>
        <v/>
      </c>
      <c r="P206" s="131" t="str">
        <f>IF($B206="","",'Qredits maandlasten'!$C$8*(POWER(1+'Qredits maandlasten'!$C$8,$B206-1+1)))</f>
        <v/>
      </c>
      <c r="Q206" s="131" t="str">
        <f t="shared" si="18"/>
        <v/>
      </c>
      <c r="R206" s="129"/>
      <c r="S206" s="130" t="str">
        <f t="shared" si="16"/>
        <v/>
      </c>
      <c r="T206" s="130" t="str">
        <f>IF(S206="","",J206/(POWER(1+'Qredits maandlasten'!$C$8,$B206-1+1)))</f>
        <v/>
      </c>
      <c r="U206" s="132" t="str">
        <f t="shared" si="19"/>
        <v/>
      </c>
      <c r="V206" s="130" t="str">
        <f>IF($B206="","",K206/(POWER(1+'Qredits maandlasten'!$C$8,$B206-1+1)))</f>
        <v/>
      </c>
      <c r="W206" s="129"/>
    </row>
    <row r="207" spans="1:23" s="134" customFormat="1" x14ac:dyDescent="0.2">
      <c r="A207" s="125"/>
      <c r="B207" s="126" t="str">
        <f>IF($B206="","",IF($B206+1&gt;'Qredits maandlasten'!$C$4,"",Schema!B206+1))</f>
        <v/>
      </c>
      <c r="C207" s="127" t="str">
        <f>IF($B206="","",IF($B206+1&gt;'Qredits maandlasten'!$C$4,"",EOMONTH(C206,0)+1))</f>
        <v/>
      </c>
      <c r="D207" s="125"/>
      <c r="E207" s="127" t="str">
        <f>IF($B206="","",IF($B206+1&gt;'Qredits maandlasten'!$C$4,"",F206+1))</f>
        <v/>
      </c>
      <c r="F207" s="127" t="str">
        <f>IF($B206="","",IF($B206+1&gt;'Qredits maandlasten'!$C$4,"",EOMONTH(E207,0)))</f>
        <v/>
      </c>
      <c r="G207" s="128" t="str">
        <f>IF($B206="","",IF($B206+1&gt;'Qredits maandlasten'!$C$4,"",(_xlfn.DAYS(F207,E207)+1)/DAY(F207)))</f>
        <v/>
      </c>
      <c r="H207" s="129"/>
      <c r="I207" s="130" t="str">
        <f>IF($B206="","",IF($B206+1&gt;'Qredits maandlasten'!$C$4,"",I206-J206))</f>
        <v/>
      </c>
      <c r="J207" s="130" t="str">
        <f>IF($B206="","",IF($B206+1&gt;'Qredits maandlasten'!$C$4,"",IF(B206&lt;'Qredits maandlasten'!$C$11-1,0,IF('Qredits maandlasten'!$C$10=dropdowns!$A$93,'Qredits maandlasten'!$J$3,IF('Qredits maandlasten'!$C$10=dropdowns!$A$92,IFERROR('Qredits maandlasten'!$J$3-K207,0),0)))))</f>
        <v/>
      </c>
      <c r="K207" s="130" t="str">
        <f>IF($B206="","",IF($B206+1&gt;'Qredits maandlasten'!$C$4,"",G207*I207*'Qredits maandlasten'!$C$8))</f>
        <v/>
      </c>
      <c r="L207" s="130" t="str">
        <f t="shared" si="17"/>
        <v/>
      </c>
      <c r="M207" s="130" t="str">
        <f t="shared" si="15"/>
        <v/>
      </c>
      <c r="N207" s="129"/>
      <c r="O207" s="131" t="str">
        <f>IF($B207="","",'Qredits maandlasten'!$C$8)</f>
        <v/>
      </c>
      <c r="P207" s="131" t="str">
        <f>IF($B207="","",'Qredits maandlasten'!$C$8*(POWER(1+'Qredits maandlasten'!$C$8,$B207-1+1)))</f>
        <v/>
      </c>
      <c r="Q207" s="131" t="str">
        <f t="shared" si="18"/>
        <v/>
      </c>
      <c r="R207" s="129"/>
      <c r="S207" s="130" t="str">
        <f t="shared" si="16"/>
        <v/>
      </c>
      <c r="T207" s="130" t="str">
        <f>IF(S207="","",J207/(POWER(1+'Qredits maandlasten'!$C$8,$B207-1+1)))</f>
        <v/>
      </c>
      <c r="U207" s="132" t="str">
        <f t="shared" si="19"/>
        <v/>
      </c>
      <c r="V207" s="130" t="str">
        <f>IF($B207="","",K207/(POWER(1+'Qredits maandlasten'!$C$8,$B207-1+1)))</f>
        <v/>
      </c>
      <c r="W207" s="129"/>
    </row>
    <row r="208" spans="1:23" s="134" customFormat="1" x14ac:dyDescent="0.2">
      <c r="A208" s="125"/>
      <c r="B208" s="126" t="str">
        <f>IF($B207="","",IF($B207+1&gt;'Qredits maandlasten'!$C$4,"",Schema!B207+1))</f>
        <v/>
      </c>
      <c r="C208" s="127" t="str">
        <f>IF($B207="","",IF($B207+1&gt;'Qredits maandlasten'!$C$4,"",EOMONTH(C207,0)+1))</f>
        <v/>
      </c>
      <c r="D208" s="125"/>
      <c r="E208" s="127" t="str">
        <f>IF($B207="","",IF($B207+1&gt;'Qredits maandlasten'!$C$4,"",F207+1))</f>
        <v/>
      </c>
      <c r="F208" s="127" t="str">
        <f>IF($B207="","",IF($B207+1&gt;'Qredits maandlasten'!$C$4,"",EOMONTH(E208,0)))</f>
        <v/>
      </c>
      <c r="G208" s="128" t="str">
        <f>IF($B207="","",IF($B207+1&gt;'Qredits maandlasten'!$C$4,"",(_xlfn.DAYS(F208,E208)+1)/DAY(F208)))</f>
        <v/>
      </c>
      <c r="H208" s="129"/>
      <c r="I208" s="130" t="str">
        <f>IF($B207="","",IF($B207+1&gt;'Qredits maandlasten'!$C$4,"",I207-J207))</f>
        <v/>
      </c>
      <c r="J208" s="130" t="str">
        <f>IF($B207="","",IF($B207+1&gt;'Qredits maandlasten'!$C$4,"",IF(B207&lt;'Qredits maandlasten'!$C$11-1,0,IF('Qredits maandlasten'!$C$10=dropdowns!$A$93,'Qredits maandlasten'!$J$3,IF('Qredits maandlasten'!$C$10=dropdowns!$A$92,IFERROR('Qredits maandlasten'!$J$3-K208,0),0)))))</f>
        <v/>
      </c>
      <c r="K208" s="130" t="str">
        <f>IF($B207="","",IF($B207+1&gt;'Qredits maandlasten'!$C$4,"",G208*I208*'Qredits maandlasten'!$C$8))</f>
        <v/>
      </c>
      <c r="L208" s="130" t="str">
        <f t="shared" si="17"/>
        <v/>
      </c>
      <c r="M208" s="130" t="str">
        <f t="shared" si="15"/>
        <v/>
      </c>
      <c r="N208" s="129"/>
      <c r="O208" s="131" t="str">
        <f>IF($B208="","",'Qredits maandlasten'!$C$8)</f>
        <v/>
      </c>
      <c r="P208" s="131" t="str">
        <f>IF($B208="","",'Qredits maandlasten'!$C$8*(POWER(1+'Qredits maandlasten'!$C$8,$B208-1+1)))</f>
        <v/>
      </c>
      <c r="Q208" s="131" t="str">
        <f t="shared" si="18"/>
        <v/>
      </c>
      <c r="R208" s="129"/>
      <c r="S208" s="130" t="str">
        <f t="shared" si="16"/>
        <v/>
      </c>
      <c r="T208" s="130" t="str">
        <f>IF(S208="","",J208/(POWER(1+'Qredits maandlasten'!$C$8,$B208-1+1)))</f>
        <v/>
      </c>
      <c r="U208" s="132" t="str">
        <f t="shared" si="19"/>
        <v/>
      </c>
      <c r="V208" s="130" t="str">
        <f>IF($B208="","",K208/(POWER(1+'Qredits maandlasten'!$C$8,$B208-1+1)))</f>
        <v/>
      </c>
      <c r="W208" s="129"/>
    </row>
    <row r="209" spans="1:23" s="134" customFormat="1" x14ac:dyDescent="0.2">
      <c r="A209" s="125"/>
      <c r="B209" s="126" t="str">
        <f>IF($B208="","",IF($B208+1&gt;'Qredits maandlasten'!$C$4,"",Schema!B208+1))</f>
        <v/>
      </c>
      <c r="C209" s="127" t="str">
        <f>IF($B208="","",IF($B208+1&gt;'Qredits maandlasten'!$C$4,"",EOMONTH(C208,0)+1))</f>
        <v/>
      </c>
      <c r="D209" s="125"/>
      <c r="E209" s="127" t="str">
        <f>IF($B208="","",IF($B208+1&gt;'Qredits maandlasten'!$C$4,"",F208+1))</f>
        <v/>
      </c>
      <c r="F209" s="127" t="str">
        <f>IF($B208="","",IF($B208+1&gt;'Qredits maandlasten'!$C$4,"",EOMONTH(E209,0)))</f>
        <v/>
      </c>
      <c r="G209" s="128" t="str">
        <f>IF($B208="","",IF($B208+1&gt;'Qredits maandlasten'!$C$4,"",(_xlfn.DAYS(F209,E209)+1)/DAY(F209)))</f>
        <v/>
      </c>
      <c r="H209" s="129"/>
      <c r="I209" s="130" t="str">
        <f>IF($B208="","",IF($B208+1&gt;'Qredits maandlasten'!$C$4,"",I208-J208))</f>
        <v/>
      </c>
      <c r="J209" s="130" t="str">
        <f>IF($B208="","",IF($B208+1&gt;'Qredits maandlasten'!$C$4,"",IF(B208&lt;'Qredits maandlasten'!$C$11-1,0,IF('Qredits maandlasten'!$C$10=dropdowns!$A$93,'Qredits maandlasten'!$J$3,IF('Qredits maandlasten'!$C$10=dropdowns!$A$92,IFERROR('Qredits maandlasten'!$J$3-K209,0),0)))))</f>
        <v/>
      </c>
      <c r="K209" s="130" t="str">
        <f>IF($B208="","",IF($B208+1&gt;'Qredits maandlasten'!$C$4,"",G209*I209*'Qredits maandlasten'!$C$8))</f>
        <v/>
      </c>
      <c r="L209" s="130" t="str">
        <f t="shared" si="17"/>
        <v/>
      </c>
      <c r="M209" s="130" t="str">
        <f t="shared" si="15"/>
        <v/>
      </c>
      <c r="N209" s="129"/>
      <c r="O209" s="131" t="str">
        <f>IF($B209="","",'Qredits maandlasten'!$C$8)</f>
        <v/>
      </c>
      <c r="P209" s="131" t="str">
        <f>IF($B209="","",'Qredits maandlasten'!$C$8*(POWER(1+'Qredits maandlasten'!$C$8,$B209-1+1)))</f>
        <v/>
      </c>
      <c r="Q209" s="131" t="str">
        <f t="shared" si="18"/>
        <v/>
      </c>
      <c r="R209" s="129"/>
      <c r="S209" s="130" t="str">
        <f t="shared" si="16"/>
        <v/>
      </c>
      <c r="T209" s="130" t="str">
        <f>IF(S209="","",J209/(POWER(1+'Qredits maandlasten'!$C$8,$B209-1+1)))</f>
        <v/>
      </c>
      <c r="U209" s="132" t="str">
        <f t="shared" si="19"/>
        <v/>
      </c>
      <c r="V209" s="130" t="str">
        <f>IF($B209="","",K209/(POWER(1+'Qredits maandlasten'!$C$8,$B209-1+1)))</f>
        <v/>
      </c>
      <c r="W209" s="129"/>
    </row>
    <row r="210" spans="1:23" s="134" customFormat="1" x14ac:dyDescent="0.2">
      <c r="A210" s="125"/>
      <c r="B210" s="126" t="str">
        <f>IF($B209="","",IF($B209+1&gt;'Qredits maandlasten'!$C$4,"",Schema!B209+1))</f>
        <v/>
      </c>
      <c r="C210" s="127" t="str">
        <f>IF($B209="","",IF($B209+1&gt;'Qredits maandlasten'!$C$4,"",EOMONTH(C209,0)+1))</f>
        <v/>
      </c>
      <c r="D210" s="125"/>
      <c r="E210" s="127" t="str">
        <f>IF($B209="","",IF($B209+1&gt;'Qredits maandlasten'!$C$4,"",F209+1))</f>
        <v/>
      </c>
      <c r="F210" s="127" t="str">
        <f>IF($B209="","",IF($B209+1&gt;'Qredits maandlasten'!$C$4,"",EOMONTH(E210,0)))</f>
        <v/>
      </c>
      <c r="G210" s="128" t="str">
        <f>IF($B209="","",IF($B209+1&gt;'Qredits maandlasten'!$C$4,"",(_xlfn.DAYS(F210,E210)+1)/DAY(F210)))</f>
        <v/>
      </c>
      <c r="H210" s="129"/>
      <c r="I210" s="130" t="str">
        <f>IF($B209="","",IF($B209+1&gt;'Qredits maandlasten'!$C$4,"",I209-J209))</f>
        <v/>
      </c>
      <c r="J210" s="130" t="str">
        <f>IF($B209="","",IF($B209+1&gt;'Qredits maandlasten'!$C$4,"",IF(B209&lt;'Qredits maandlasten'!$C$11-1,0,IF('Qredits maandlasten'!$C$10=dropdowns!$A$93,'Qredits maandlasten'!$J$3,IF('Qredits maandlasten'!$C$10=dropdowns!$A$92,IFERROR('Qredits maandlasten'!$J$3-K210,0),0)))))</f>
        <v/>
      </c>
      <c r="K210" s="130" t="str">
        <f>IF($B209="","",IF($B209+1&gt;'Qredits maandlasten'!$C$4,"",G210*I210*'Qredits maandlasten'!$C$8))</f>
        <v/>
      </c>
      <c r="L210" s="130" t="str">
        <f t="shared" si="17"/>
        <v/>
      </c>
      <c r="M210" s="130" t="str">
        <f t="shared" si="15"/>
        <v/>
      </c>
      <c r="N210" s="129"/>
      <c r="O210" s="131" t="str">
        <f>IF($B210="","",'Qredits maandlasten'!$C$8)</f>
        <v/>
      </c>
      <c r="P210" s="131" t="str">
        <f>IF($B210="","",'Qredits maandlasten'!$C$8*(POWER(1+'Qredits maandlasten'!$C$8,$B210-1+1)))</f>
        <v/>
      </c>
      <c r="Q210" s="131" t="str">
        <f t="shared" si="18"/>
        <v/>
      </c>
      <c r="R210" s="129"/>
      <c r="S210" s="130" t="str">
        <f t="shared" si="16"/>
        <v/>
      </c>
      <c r="T210" s="130" t="str">
        <f>IF(S210="","",J210/(POWER(1+'Qredits maandlasten'!$C$8,$B210-1+1)))</f>
        <v/>
      </c>
      <c r="U210" s="132" t="str">
        <f t="shared" si="19"/>
        <v/>
      </c>
      <c r="V210" s="130" t="str">
        <f>IF($B210="","",K210/(POWER(1+'Qredits maandlasten'!$C$8,$B210-1+1)))</f>
        <v/>
      </c>
      <c r="W210" s="129"/>
    </row>
    <row r="211" spans="1:23" s="134" customFormat="1" x14ac:dyDescent="0.2">
      <c r="A211" s="125"/>
      <c r="B211" s="126" t="str">
        <f>IF($B210="","",IF($B210+1&gt;'Qredits maandlasten'!$C$4,"",Schema!B210+1))</f>
        <v/>
      </c>
      <c r="C211" s="127" t="str">
        <f>IF($B210="","",IF($B210+1&gt;'Qredits maandlasten'!$C$4,"",EOMONTH(C210,0)+1))</f>
        <v/>
      </c>
      <c r="D211" s="125"/>
      <c r="E211" s="127" t="str">
        <f>IF($B210="","",IF($B210+1&gt;'Qredits maandlasten'!$C$4,"",F210+1))</f>
        <v/>
      </c>
      <c r="F211" s="127" t="str">
        <f>IF($B210="","",IF($B210+1&gt;'Qredits maandlasten'!$C$4,"",EOMONTH(E211,0)))</f>
        <v/>
      </c>
      <c r="G211" s="128" t="str">
        <f>IF($B210="","",IF($B210+1&gt;'Qredits maandlasten'!$C$4,"",(_xlfn.DAYS(F211,E211)+1)/DAY(F211)))</f>
        <v/>
      </c>
      <c r="H211" s="129"/>
      <c r="I211" s="130" t="str">
        <f>IF($B210="","",IF($B210+1&gt;'Qredits maandlasten'!$C$4,"",I210-J210))</f>
        <v/>
      </c>
      <c r="J211" s="130" t="str">
        <f>IF($B210="","",IF($B210+1&gt;'Qredits maandlasten'!$C$4,"",IF(B210&lt;'Qredits maandlasten'!$C$11-1,0,IF('Qredits maandlasten'!$C$10=dropdowns!$A$93,'Qredits maandlasten'!$J$3,IF('Qredits maandlasten'!$C$10=dropdowns!$A$92,IFERROR('Qredits maandlasten'!$J$3-K211,0),0)))))</f>
        <v/>
      </c>
      <c r="K211" s="130" t="str">
        <f>IF($B210="","",IF($B210+1&gt;'Qredits maandlasten'!$C$4,"",G211*I211*'Qredits maandlasten'!$C$8))</f>
        <v/>
      </c>
      <c r="L211" s="130" t="str">
        <f t="shared" si="17"/>
        <v/>
      </c>
      <c r="M211" s="130" t="str">
        <f t="shared" si="15"/>
        <v/>
      </c>
      <c r="N211" s="129"/>
      <c r="O211" s="131" t="str">
        <f>IF($B211="","",'Qredits maandlasten'!$C$8)</f>
        <v/>
      </c>
      <c r="P211" s="131" t="str">
        <f>IF($B211="","",'Qredits maandlasten'!$C$8*(POWER(1+'Qredits maandlasten'!$C$8,$B211-1+1)))</f>
        <v/>
      </c>
      <c r="Q211" s="131" t="str">
        <f t="shared" si="18"/>
        <v/>
      </c>
      <c r="R211" s="129"/>
      <c r="S211" s="130" t="str">
        <f t="shared" si="16"/>
        <v/>
      </c>
      <c r="T211" s="130" t="str">
        <f>IF(S211="","",J211/(POWER(1+'Qredits maandlasten'!$C$8,$B211-1+1)))</f>
        <v/>
      </c>
      <c r="U211" s="132" t="str">
        <f t="shared" si="19"/>
        <v/>
      </c>
      <c r="V211" s="130" t="str">
        <f>IF($B211="","",K211/(POWER(1+'Qredits maandlasten'!$C$8,$B211-1+1)))</f>
        <v/>
      </c>
      <c r="W211" s="129"/>
    </row>
    <row r="212" spans="1:23" s="134" customFormat="1" x14ac:dyDescent="0.2">
      <c r="A212" s="125"/>
      <c r="B212" s="126" t="str">
        <f>IF($B211="","",IF($B211+1&gt;'Qredits maandlasten'!$C$4,"",Schema!B211+1))</f>
        <v/>
      </c>
      <c r="C212" s="127" t="str">
        <f>IF($B211="","",IF($B211+1&gt;'Qredits maandlasten'!$C$4,"",EOMONTH(C211,0)+1))</f>
        <v/>
      </c>
      <c r="D212" s="125"/>
      <c r="E212" s="127" t="str">
        <f>IF($B211="","",IF($B211+1&gt;'Qredits maandlasten'!$C$4,"",F211+1))</f>
        <v/>
      </c>
      <c r="F212" s="127" t="str">
        <f>IF($B211="","",IF($B211+1&gt;'Qredits maandlasten'!$C$4,"",EOMONTH(E212,0)))</f>
        <v/>
      </c>
      <c r="G212" s="128" t="str">
        <f>IF($B211="","",IF($B211+1&gt;'Qredits maandlasten'!$C$4,"",(_xlfn.DAYS(F212,E212)+1)/DAY(F212)))</f>
        <v/>
      </c>
      <c r="H212" s="129"/>
      <c r="I212" s="130" t="str">
        <f>IF($B211="","",IF($B211+1&gt;'Qredits maandlasten'!$C$4,"",I211-J211))</f>
        <v/>
      </c>
      <c r="J212" s="130" t="str">
        <f>IF($B211="","",IF($B211+1&gt;'Qredits maandlasten'!$C$4,"",IF(B211&lt;'Qredits maandlasten'!$C$11-1,0,IF('Qredits maandlasten'!$C$10=dropdowns!$A$93,'Qredits maandlasten'!$J$3,IF('Qredits maandlasten'!$C$10=dropdowns!$A$92,IFERROR('Qredits maandlasten'!$J$3-K212,0),0)))))</f>
        <v/>
      </c>
      <c r="K212" s="130" t="str">
        <f>IF($B211="","",IF($B211+1&gt;'Qredits maandlasten'!$C$4,"",G212*I212*'Qredits maandlasten'!$C$8))</f>
        <v/>
      </c>
      <c r="L212" s="130" t="str">
        <f t="shared" si="17"/>
        <v/>
      </c>
      <c r="M212" s="130" t="str">
        <f t="shared" si="15"/>
        <v/>
      </c>
      <c r="N212" s="129"/>
      <c r="O212" s="131" t="str">
        <f>IF($B212="","",'Qredits maandlasten'!$C$8)</f>
        <v/>
      </c>
      <c r="P212" s="131" t="str">
        <f>IF($B212="","",'Qredits maandlasten'!$C$8*(POWER(1+'Qredits maandlasten'!$C$8,$B212-1+1)))</f>
        <v/>
      </c>
      <c r="Q212" s="131" t="str">
        <f t="shared" si="18"/>
        <v/>
      </c>
      <c r="R212" s="129"/>
      <c r="S212" s="130" t="str">
        <f t="shared" si="16"/>
        <v/>
      </c>
      <c r="T212" s="130" t="str">
        <f>IF(S212="","",J212/(POWER(1+'Qredits maandlasten'!$C$8,$B212-1+1)))</f>
        <v/>
      </c>
      <c r="U212" s="132" t="str">
        <f t="shared" si="19"/>
        <v/>
      </c>
      <c r="V212" s="130" t="str">
        <f>IF($B212="","",K212/(POWER(1+'Qredits maandlasten'!$C$8,$B212-1+1)))</f>
        <v/>
      </c>
      <c r="W212" s="129"/>
    </row>
    <row r="213" spans="1:23" s="134" customFormat="1" x14ac:dyDescent="0.2">
      <c r="A213" s="125"/>
      <c r="B213" s="126" t="str">
        <f>IF($B212="","",IF($B212+1&gt;'Qredits maandlasten'!$C$4,"",Schema!B212+1))</f>
        <v/>
      </c>
      <c r="C213" s="127" t="str">
        <f>IF($B212="","",IF($B212+1&gt;'Qredits maandlasten'!$C$4,"",EOMONTH(C212,0)+1))</f>
        <v/>
      </c>
      <c r="D213" s="125"/>
      <c r="E213" s="127" t="str">
        <f>IF($B212="","",IF($B212+1&gt;'Qredits maandlasten'!$C$4,"",F212+1))</f>
        <v/>
      </c>
      <c r="F213" s="127" t="str">
        <f>IF($B212="","",IF($B212+1&gt;'Qredits maandlasten'!$C$4,"",EOMONTH(E213,0)))</f>
        <v/>
      </c>
      <c r="G213" s="128" t="str">
        <f>IF($B212="","",IF($B212+1&gt;'Qredits maandlasten'!$C$4,"",(_xlfn.DAYS(F213,E213)+1)/DAY(F213)))</f>
        <v/>
      </c>
      <c r="H213" s="129"/>
      <c r="I213" s="130" t="str">
        <f>IF($B212="","",IF($B212+1&gt;'Qredits maandlasten'!$C$4,"",I212-J212))</f>
        <v/>
      </c>
      <c r="J213" s="130" t="str">
        <f>IF($B212="","",IF($B212+1&gt;'Qredits maandlasten'!$C$4,"",IF(B212&lt;'Qredits maandlasten'!$C$11-1,0,IF('Qredits maandlasten'!$C$10=dropdowns!$A$93,'Qredits maandlasten'!$J$3,IF('Qredits maandlasten'!$C$10=dropdowns!$A$92,IFERROR('Qredits maandlasten'!$J$3-K213,0),0)))))</f>
        <v/>
      </c>
      <c r="K213" s="130" t="str">
        <f>IF($B212="","",IF($B212+1&gt;'Qredits maandlasten'!$C$4,"",G213*I213*'Qredits maandlasten'!$C$8))</f>
        <v/>
      </c>
      <c r="L213" s="130" t="str">
        <f t="shared" si="17"/>
        <v/>
      </c>
      <c r="M213" s="130" t="str">
        <f t="shared" si="15"/>
        <v/>
      </c>
      <c r="N213" s="129"/>
      <c r="O213" s="131" t="str">
        <f>IF($B213="","",'Qredits maandlasten'!$C$8)</f>
        <v/>
      </c>
      <c r="P213" s="131" t="str">
        <f>IF($B213="","",'Qredits maandlasten'!$C$8*(POWER(1+'Qredits maandlasten'!$C$8,$B213-1+1)))</f>
        <v/>
      </c>
      <c r="Q213" s="131" t="str">
        <f t="shared" si="18"/>
        <v/>
      </c>
      <c r="R213" s="129"/>
      <c r="S213" s="130" t="str">
        <f t="shared" si="16"/>
        <v/>
      </c>
      <c r="T213" s="130" t="str">
        <f>IF(S213="","",J213/(POWER(1+'Qredits maandlasten'!$C$8,$B213-1+1)))</f>
        <v/>
      </c>
      <c r="U213" s="132" t="str">
        <f t="shared" si="19"/>
        <v/>
      </c>
      <c r="V213" s="130" t="str">
        <f>IF($B213="","",K213/(POWER(1+'Qredits maandlasten'!$C$8,$B213-1+1)))</f>
        <v/>
      </c>
      <c r="W213" s="129"/>
    </row>
    <row r="214" spans="1:23" s="134" customFormat="1" x14ac:dyDescent="0.2">
      <c r="A214" s="125"/>
      <c r="B214" s="126" t="str">
        <f>IF($B213="","",IF($B213+1&gt;'Qredits maandlasten'!$C$4,"",Schema!B213+1))</f>
        <v/>
      </c>
      <c r="C214" s="127" t="str">
        <f>IF($B213="","",IF($B213+1&gt;'Qredits maandlasten'!$C$4,"",EOMONTH(C213,0)+1))</f>
        <v/>
      </c>
      <c r="D214" s="125"/>
      <c r="E214" s="127" t="str">
        <f>IF($B213="","",IF($B213+1&gt;'Qredits maandlasten'!$C$4,"",F213+1))</f>
        <v/>
      </c>
      <c r="F214" s="127" t="str">
        <f>IF($B213="","",IF($B213+1&gt;'Qredits maandlasten'!$C$4,"",EOMONTH(E214,0)))</f>
        <v/>
      </c>
      <c r="G214" s="128" t="str">
        <f>IF($B213="","",IF($B213+1&gt;'Qredits maandlasten'!$C$4,"",(_xlfn.DAYS(F214,E214)+1)/DAY(F214)))</f>
        <v/>
      </c>
      <c r="H214" s="129"/>
      <c r="I214" s="130" t="str">
        <f>IF($B213="","",IF($B213+1&gt;'Qredits maandlasten'!$C$4,"",I213-J213))</f>
        <v/>
      </c>
      <c r="J214" s="130" t="str">
        <f>IF($B213="","",IF($B213+1&gt;'Qredits maandlasten'!$C$4,"",IF(B213&lt;'Qredits maandlasten'!$C$11-1,0,IF('Qredits maandlasten'!$C$10=dropdowns!$A$93,'Qredits maandlasten'!$J$3,IF('Qredits maandlasten'!$C$10=dropdowns!$A$92,IFERROR('Qredits maandlasten'!$J$3-K214,0),0)))))</f>
        <v/>
      </c>
      <c r="K214" s="130" t="str">
        <f>IF($B213="","",IF($B213+1&gt;'Qredits maandlasten'!$C$4,"",G214*I214*'Qredits maandlasten'!$C$8))</f>
        <v/>
      </c>
      <c r="L214" s="130" t="str">
        <f t="shared" si="17"/>
        <v/>
      </c>
      <c r="M214" s="130" t="str">
        <f t="shared" si="15"/>
        <v/>
      </c>
      <c r="N214" s="129"/>
      <c r="O214" s="131" t="str">
        <f>IF($B214="","",'Qredits maandlasten'!$C$8)</f>
        <v/>
      </c>
      <c r="P214" s="131" t="str">
        <f>IF($B214="","",'Qredits maandlasten'!$C$8*(POWER(1+'Qredits maandlasten'!$C$8,$B214-1+1)))</f>
        <v/>
      </c>
      <c r="Q214" s="131" t="str">
        <f t="shared" si="18"/>
        <v/>
      </c>
      <c r="R214" s="129"/>
      <c r="S214" s="130" t="str">
        <f t="shared" si="16"/>
        <v/>
      </c>
      <c r="T214" s="130" t="str">
        <f>IF(S214="","",J214/(POWER(1+'Qredits maandlasten'!$C$8,$B214-1+1)))</f>
        <v/>
      </c>
      <c r="U214" s="132" t="str">
        <f t="shared" si="19"/>
        <v/>
      </c>
      <c r="V214" s="130" t="str">
        <f>IF($B214="","",K214/(POWER(1+'Qredits maandlasten'!$C$8,$B214-1+1)))</f>
        <v/>
      </c>
      <c r="W214" s="129"/>
    </row>
    <row r="215" spans="1:23" s="134" customFormat="1" x14ac:dyDescent="0.2">
      <c r="A215" s="125"/>
      <c r="B215" s="126" t="str">
        <f>IF($B214="","",IF($B214+1&gt;'Qredits maandlasten'!$C$4,"",Schema!B214+1))</f>
        <v/>
      </c>
      <c r="C215" s="127" t="str">
        <f>IF($B214="","",IF($B214+1&gt;'Qredits maandlasten'!$C$4,"",EOMONTH(C214,0)+1))</f>
        <v/>
      </c>
      <c r="D215" s="125"/>
      <c r="E215" s="127" t="str">
        <f>IF($B214="","",IF($B214+1&gt;'Qredits maandlasten'!$C$4,"",F214+1))</f>
        <v/>
      </c>
      <c r="F215" s="127" t="str">
        <f>IF($B214="","",IF($B214+1&gt;'Qredits maandlasten'!$C$4,"",EOMONTH(E215,0)))</f>
        <v/>
      </c>
      <c r="G215" s="128" t="str">
        <f>IF($B214="","",IF($B214+1&gt;'Qredits maandlasten'!$C$4,"",(_xlfn.DAYS(F215,E215)+1)/DAY(F215)))</f>
        <v/>
      </c>
      <c r="H215" s="129"/>
      <c r="I215" s="130" t="str">
        <f>IF($B214="","",IF($B214+1&gt;'Qredits maandlasten'!$C$4,"",I214-J214))</f>
        <v/>
      </c>
      <c r="J215" s="130" t="str">
        <f>IF($B214="","",IF($B214+1&gt;'Qredits maandlasten'!$C$4,"",IF(B214&lt;'Qredits maandlasten'!$C$11-1,0,IF('Qredits maandlasten'!$C$10=dropdowns!$A$93,'Qredits maandlasten'!$J$3,IF('Qredits maandlasten'!$C$10=dropdowns!$A$92,IFERROR('Qredits maandlasten'!$J$3-K215,0),0)))))</f>
        <v/>
      </c>
      <c r="K215" s="130" t="str">
        <f>IF($B214="","",IF($B214+1&gt;'Qredits maandlasten'!$C$4,"",G215*I215*'Qredits maandlasten'!$C$8))</f>
        <v/>
      </c>
      <c r="L215" s="130" t="str">
        <f t="shared" si="17"/>
        <v/>
      </c>
      <c r="M215" s="130" t="str">
        <f t="shared" si="15"/>
        <v/>
      </c>
      <c r="N215" s="129"/>
      <c r="O215" s="131" t="str">
        <f>IF($B215="","",'Qredits maandlasten'!$C$8)</f>
        <v/>
      </c>
      <c r="P215" s="131" t="str">
        <f>IF($B215="","",'Qredits maandlasten'!$C$8*(POWER(1+'Qredits maandlasten'!$C$8,$B215-1+1)))</f>
        <v/>
      </c>
      <c r="Q215" s="131" t="str">
        <f t="shared" si="18"/>
        <v/>
      </c>
      <c r="R215" s="129"/>
      <c r="S215" s="130" t="str">
        <f t="shared" si="16"/>
        <v/>
      </c>
      <c r="T215" s="130" t="str">
        <f>IF(S215="","",J215/(POWER(1+'Qredits maandlasten'!$C$8,$B215-1+1)))</f>
        <v/>
      </c>
      <c r="U215" s="132" t="str">
        <f t="shared" si="19"/>
        <v/>
      </c>
      <c r="V215" s="130" t="str">
        <f>IF($B215="","",K215/(POWER(1+'Qredits maandlasten'!$C$8,$B215-1+1)))</f>
        <v/>
      </c>
      <c r="W215" s="129"/>
    </row>
    <row r="216" spans="1:23" s="134" customFormat="1" x14ac:dyDescent="0.2">
      <c r="A216" s="125"/>
      <c r="B216" s="126" t="str">
        <f>IF($B215="","",IF($B215+1&gt;'Qredits maandlasten'!$C$4,"",Schema!B215+1))</f>
        <v/>
      </c>
      <c r="C216" s="127" t="str">
        <f>IF($B215="","",IF($B215+1&gt;'Qredits maandlasten'!$C$4,"",EOMONTH(C215,0)+1))</f>
        <v/>
      </c>
      <c r="D216" s="125"/>
      <c r="E216" s="127" t="str">
        <f>IF($B215="","",IF($B215+1&gt;'Qredits maandlasten'!$C$4,"",F215+1))</f>
        <v/>
      </c>
      <c r="F216" s="127" t="str">
        <f>IF($B215="","",IF($B215+1&gt;'Qredits maandlasten'!$C$4,"",EOMONTH(E216,0)))</f>
        <v/>
      </c>
      <c r="G216" s="128" t="str">
        <f>IF($B215="","",IF($B215+1&gt;'Qredits maandlasten'!$C$4,"",(_xlfn.DAYS(F216,E216)+1)/DAY(F216)))</f>
        <v/>
      </c>
      <c r="H216" s="129"/>
      <c r="I216" s="130" t="str">
        <f>IF($B215="","",IF($B215+1&gt;'Qredits maandlasten'!$C$4,"",I215-J215))</f>
        <v/>
      </c>
      <c r="J216" s="130" t="str">
        <f>IF($B215="","",IF($B215+1&gt;'Qredits maandlasten'!$C$4,"",IF(B215&lt;'Qredits maandlasten'!$C$11-1,0,IF('Qredits maandlasten'!$C$10=dropdowns!$A$93,'Qredits maandlasten'!$J$3,IF('Qredits maandlasten'!$C$10=dropdowns!$A$92,IFERROR('Qredits maandlasten'!$J$3-K216,0),0)))))</f>
        <v/>
      </c>
      <c r="K216" s="130" t="str">
        <f>IF($B215="","",IF($B215+1&gt;'Qredits maandlasten'!$C$4,"",G216*I216*'Qredits maandlasten'!$C$8))</f>
        <v/>
      </c>
      <c r="L216" s="130" t="str">
        <f t="shared" si="17"/>
        <v/>
      </c>
      <c r="M216" s="130" t="str">
        <f t="shared" si="15"/>
        <v/>
      </c>
      <c r="N216" s="129"/>
      <c r="O216" s="131" t="str">
        <f>IF($B216="","",'Qredits maandlasten'!$C$8)</f>
        <v/>
      </c>
      <c r="P216" s="131" t="str">
        <f>IF($B216="","",'Qredits maandlasten'!$C$8*(POWER(1+'Qredits maandlasten'!$C$8,$B216-1+1)))</f>
        <v/>
      </c>
      <c r="Q216" s="131" t="str">
        <f t="shared" si="18"/>
        <v/>
      </c>
      <c r="R216" s="129"/>
      <c r="S216" s="130" t="str">
        <f t="shared" si="16"/>
        <v/>
      </c>
      <c r="T216" s="130" t="str">
        <f>IF(S216="","",J216/(POWER(1+'Qredits maandlasten'!$C$8,$B216-1+1)))</f>
        <v/>
      </c>
      <c r="U216" s="132" t="str">
        <f t="shared" si="19"/>
        <v/>
      </c>
      <c r="V216" s="130" t="str">
        <f>IF($B216="","",K216/(POWER(1+'Qredits maandlasten'!$C$8,$B216-1+1)))</f>
        <v/>
      </c>
      <c r="W216" s="129"/>
    </row>
    <row r="217" spans="1:23" s="134" customFormat="1" x14ac:dyDescent="0.2">
      <c r="A217" s="125"/>
      <c r="B217" s="126" t="str">
        <f>IF($B216="","",IF($B216+1&gt;'Qredits maandlasten'!$C$4,"",Schema!B216+1))</f>
        <v/>
      </c>
      <c r="C217" s="127" t="str">
        <f>IF($B216="","",IF($B216+1&gt;'Qredits maandlasten'!$C$4,"",EOMONTH(C216,0)+1))</f>
        <v/>
      </c>
      <c r="D217" s="125"/>
      <c r="E217" s="127" t="str">
        <f>IF($B216="","",IF($B216+1&gt;'Qredits maandlasten'!$C$4,"",F216+1))</f>
        <v/>
      </c>
      <c r="F217" s="127" t="str">
        <f>IF($B216="","",IF($B216+1&gt;'Qredits maandlasten'!$C$4,"",EOMONTH(E217,0)))</f>
        <v/>
      </c>
      <c r="G217" s="128" t="str">
        <f>IF($B216="","",IF($B216+1&gt;'Qredits maandlasten'!$C$4,"",(_xlfn.DAYS(F217,E217)+1)/DAY(F217)))</f>
        <v/>
      </c>
      <c r="H217" s="129"/>
      <c r="I217" s="130" t="str">
        <f>IF($B216="","",IF($B216+1&gt;'Qredits maandlasten'!$C$4,"",I216-J216))</f>
        <v/>
      </c>
      <c r="J217" s="130" t="str">
        <f>IF($B216="","",IF($B216+1&gt;'Qredits maandlasten'!$C$4,"",IF(B216&lt;'Qredits maandlasten'!$C$11-1,0,IF('Qredits maandlasten'!$C$10=dropdowns!$A$93,'Qredits maandlasten'!$J$3,IF('Qredits maandlasten'!$C$10=dropdowns!$A$92,IFERROR('Qredits maandlasten'!$J$3-K217,0),0)))))</f>
        <v/>
      </c>
      <c r="K217" s="130" t="str">
        <f>IF($B216="","",IF($B216+1&gt;'Qredits maandlasten'!$C$4,"",G217*I217*'Qredits maandlasten'!$C$8))</f>
        <v/>
      </c>
      <c r="L217" s="130" t="str">
        <f t="shared" si="17"/>
        <v/>
      </c>
      <c r="M217" s="130" t="str">
        <f t="shared" si="15"/>
        <v/>
      </c>
      <c r="N217" s="129"/>
      <c r="O217" s="131" t="str">
        <f>IF($B217="","",'Qredits maandlasten'!$C$8)</f>
        <v/>
      </c>
      <c r="P217" s="131" t="str">
        <f>IF($B217="","",'Qredits maandlasten'!$C$8*(POWER(1+'Qredits maandlasten'!$C$8,$B217-1+1)))</f>
        <v/>
      </c>
      <c r="Q217" s="131" t="str">
        <f t="shared" si="18"/>
        <v/>
      </c>
      <c r="R217" s="129"/>
      <c r="S217" s="130" t="str">
        <f t="shared" si="16"/>
        <v/>
      </c>
      <c r="T217" s="130" t="str">
        <f>IF(S217="","",J217/(POWER(1+'Qredits maandlasten'!$C$8,$B217-1+1)))</f>
        <v/>
      </c>
      <c r="U217" s="132" t="str">
        <f t="shared" si="19"/>
        <v/>
      </c>
      <c r="V217" s="130" t="str">
        <f>IF($B217="","",K217/(POWER(1+'Qredits maandlasten'!$C$8,$B217-1+1)))</f>
        <v/>
      </c>
      <c r="W217" s="129"/>
    </row>
    <row r="218" spans="1:23" s="134" customFormat="1" x14ac:dyDescent="0.2">
      <c r="A218" s="125"/>
      <c r="B218" s="126" t="str">
        <f>IF($B217="","",IF($B217+1&gt;'Qredits maandlasten'!$C$4,"",Schema!B217+1))</f>
        <v/>
      </c>
      <c r="C218" s="127" t="str">
        <f>IF($B217="","",IF($B217+1&gt;'Qredits maandlasten'!$C$4,"",EOMONTH(C217,0)+1))</f>
        <v/>
      </c>
      <c r="D218" s="125"/>
      <c r="E218" s="127" t="str">
        <f>IF($B217="","",IF($B217+1&gt;'Qredits maandlasten'!$C$4,"",F217+1))</f>
        <v/>
      </c>
      <c r="F218" s="127" t="str">
        <f>IF($B217="","",IF($B217+1&gt;'Qredits maandlasten'!$C$4,"",EOMONTH(E218,0)))</f>
        <v/>
      </c>
      <c r="G218" s="128" t="str">
        <f>IF($B217="","",IF($B217+1&gt;'Qredits maandlasten'!$C$4,"",(_xlfn.DAYS(F218,E218)+1)/DAY(F218)))</f>
        <v/>
      </c>
      <c r="H218" s="129"/>
      <c r="I218" s="130" t="str">
        <f>IF($B217="","",IF($B217+1&gt;'Qredits maandlasten'!$C$4,"",I217-J217))</f>
        <v/>
      </c>
      <c r="J218" s="130" t="str">
        <f>IF($B217="","",IF($B217+1&gt;'Qredits maandlasten'!$C$4,"",IF(B217&lt;'Qredits maandlasten'!$C$11-1,0,IF('Qredits maandlasten'!$C$10=dropdowns!$A$93,'Qredits maandlasten'!$J$3,IF('Qredits maandlasten'!$C$10=dropdowns!$A$92,IFERROR('Qredits maandlasten'!$J$3-K218,0),0)))))</f>
        <v/>
      </c>
      <c r="K218" s="130" t="str">
        <f>IF($B217="","",IF($B217+1&gt;'Qredits maandlasten'!$C$4,"",G218*I218*'Qredits maandlasten'!$C$8))</f>
        <v/>
      </c>
      <c r="L218" s="130" t="str">
        <f t="shared" si="17"/>
        <v/>
      </c>
      <c r="M218" s="130" t="str">
        <f t="shared" si="15"/>
        <v/>
      </c>
      <c r="N218" s="129"/>
      <c r="O218" s="131" t="str">
        <f>IF($B218="","",'Qredits maandlasten'!$C$8)</f>
        <v/>
      </c>
      <c r="P218" s="131" t="str">
        <f>IF($B218="","",'Qredits maandlasten'!$C$8*(POWER(1+'Qredits maandlasten'!$C$8,$B218-1+1)))</f>
        <v/>
      </c>
      <c r="Q218" s="131" t="str">
        <f t="shared" si="18"/>
        <v/>
      </c>
      <c r="R218" s="129"/>
      <c r="S218" s="130" t="str">
        <f t="shared" si="16"/>
        <v/>
      </c>
      <c r="T218" s="130" t="str">
        <f>IF(S218="","",J218/(POWER(1+'Qredits maandlasten'!$C$8,$B218-1+1)))</f>
        <v/>
      </c>
      <c r="U218" s="132" t="str">
        <f t="shared" si="19"/>
        <v/>
      </c>
      <c r="V218" s="130" t="str">
        <f>IF($B218="","",K218/(POWER(1+'Qredits maandlasten'!$C$8,$B218-1+1)))</f>
        <v/>
      </c>
      <c r="W218" s="129"/>
    </row>
    <row r="219" spans="1:23" s="134" customFormat="1" x14ac:dyDescent="0.2">
      <c r="A219" s="125"/>
      <c r="B219" s="126" t="str">
        <f>IF($B218="","",IF($B218+1&gt;'Qredits maandlasten'!$C$4,"",Schema!B218+1))</f>
        <v/>
      </c>
      <c r="C219" s="127" t="str">
        <f>IF($B218="","",IF($B218+1&gt;'Qredits maandlasten'!$C$4,"",EOMONTH(C218,0)+1))</f>
        <v/>
      </c>
      <c r="D219" s="125"/>
      <c r="E219" s="127" t="str">
        <f>IF($B218="","",IF($B218+1&gt;'Qredits maandlasten'!$C$4,"",F218+1))</f>
        <v/>
      </c>
      <c r="F219" s="127" t="str">
        <f>IF($B218="","",IF($B218+1&gt;'Qredits maandlasten'!$C$4,"",EOMONTH(E219,0)))</f>
        <v/>
      </c>
      <c r="G219" s="128" t="str">
        <f>IF($B218="","",IF($B218+1&gt;'Qredits maandlasten'!$C$4,"",(_xlfn.DAYS(F219,E219)+1)/DAY(F219)))</f>
        <v/>
      </c>
      <c r="H219" s="129"/>
      <c r="I219" s="130" t="str">
        <f>IF($B218="","",IF($B218+1&gt;'Qredits maandlasten'!$C$4,"",I218-J218))</f>
        <v/>
      </c>
      <c r="J219" s="130" t="str">
        <f>IF($B218="","",IF($B218+1&gt;'Qredits maandlasten'!$C$4,"",IF(B218&lt;'Qredits maandlasten'!$C$11-1,0,IF('Qredits maandlasten'!$C$10=dropdowns!$A$93,'Qredits maandlasten'!$J$3,IF('Qredits maandlasten'!$C$10=dropdowns!$A$92,IFERROR('Qredits maandlasten'!$J$3-K219,0),0)))))</f>
        <v/>
      </c>
      <c r="K219" s="130" t="str">
        <f>IF($B218="","",IF($B218+1&gt;'Qredits maandlasten'!$C$4,"",G219*I219*'Qredits maandlasten'!$C$8))</f>
        <v/>
      </c>
      <c r="L219" s="130" t="str">
        <f t="shared" si="17"/>
        <v/>
      </c>
      <c r="M219" s="130" t="str">
        <f t="shared" si="15"/>
        <v/>
      </c>
      <c r="N219" s="129"/>
      <c r="O219" s="131" t="str">
        <f>IF($B219="","",'Qredits maandlasten'!$C$8)</f>
        <v/>
      </c>
      <c r="P219" s="131" t="str">
        <f>IF($B219="","",'Qredits maandlasten'!$C$8*(POWER(1+'Qredits maandlasten'!$C$8,$B219-1+1)))</f>
        <v/>
      </c>
      <c r="Q219" s="131" t="str">
        <f t="shared" si="18"/>
        <v/>
      </c>
      <c r="R219" s="129"/>
      <c r="S219" s="130" t="str">
        <f t="shared" si="16"/>
        <v/>
      </c>
      <c r="T219" s="130" t="str">
        <f>IF(S219="","",J219/(POWER(1+'Qredits maandlasten'!$C$8,$B219-1+1)))</f>
        <v/>
      </c>
      <c r="U219" s="132" t="str">
        <f t="shared" si="19"/>
        <v/>
      </c>
      <c r="V219" s="130" t="str">
        <f>IF($B219="","",K219/(POWER(1+'Qredits maandlasten'!$C$8,$B219-1+1)))</f>
        <v/>
      </c>
      <c r="W219" s="129"/>
    </row>
    <row r="220" spans="1:23" s="134" customFormat="1" x14ac:dyDescent="0.2">
      <c r="A220" s="125"/>
      <c r="B220" s="126" t="str">
        <f>IF($B219="","",IF($B219+1&gt;'Qredits maandlasten'!$C$4,"",Schema!B219+1))</f>
        <v/>
      </c>
      <c r="C220" s="127" t="str">
        <f>IF($B219="","",IF($B219+1&gt;'Qredits maandlasten'!$C$4,"",EOMONTH(C219,0)+1))</f>
        <v/>
      </c>
      <c r="D220" s="125"/>
      <c r="E220" s="127" t="str">
        <f>IF($B219="","",IF($B219+1&gt;'Qredits maandlasten'!$C$4,"",F219+1))</f>
        <v/>
      </c>
      <c r="F220" s="127" t="str">
        <f>IF($B219="","",IF($B219+1&gt;'Qredits maandlasten'!$C$4,"",EOMONTH(E220,0)))</f>
        <v/>
      </c>
      <c r="G220" s="128" t="str">
        <f>IF($B219="","",IF($B219+1&gt;'Qredits maandlasten'!$C$4,"",(_xlfn.DAYS(F220,E220)+1)/DAY(F220)))</f>
        <v/>
      </c>
      <c r="H220" s="129"/>
      <c r="I220" s="130" t="str">
        <f>IF($B219="","",IF($B219+1&gt;'Qredits maandlasten'!$C$4,"",I219-J219))</f>
        <v/>
      </c>
      <c r="J220" s="130" t="str">
        <f>IF($B219="","",IF($B219+1&gt;'Qredits maandlasten'!$C$4,"",IF(B219&lt;'Qredits maandlasten'!$C$11-1,0,IF('Qredits maandlasten'!$C$10=dropdowns!$A$93,'Qredits maandlasten'!$J$3,IF('Qredits maandlasten'!$C$10=dropdowns!$A$92,IFERROR('Qredits maandlasten'!$J$3-K220,0),0)))))</f>
        <v/>
      </c>
      <c r="K220" s="130" t="str">
        <f>IF($B219="","",IF($B219+1&gt;'Qredits maandlasten'!$C$4,"",G220*I220*'Qredits maandlasten'!$C$8))</f>
        <v/>
      </c>
      <c r="L220" s="130" t="str">
        <f t="shared" si="17"/>
        <v/>
      </c>
      <c r="M220" s="130" t="str">
        <f t="shared" si="15"/>
        <v/>
      </c>
      <c r="N220" s="129"/>
      <c r="O220" s="131" t="str">
        <f>IF($B220="","",'Qredits maandlasten'!$C$8)</f>
        <v/>
      </c>
      <c r="P220" s="131" t="str">
        <f>IF($B220="","",'Qredits maandlasten'!$C$8*(POWER(1+'Qredits maandlasten'!$C$8,$B220-1+1)))</f>
        <v/>
      </c>
      <c r="Q220" s="131" t="str">
        <f t="shared" si="18"/>
        <v/>
      </c>
      <c r="R220" s="129"/>
      <c r="S220" s="130" t="str">
        <f t="shared" si="16"/>
        <v/>
      </c>
      <c r="T220" s="130" t="str">
        <f>IF(S220="","",J220/(POWER(1+'Qredits maandlasten'!$C$8,$B220-1+1)))</f>
        <v/>
      </c>
      <c r="U220" s="132" t="str">
        <f t="shared" si="19"/>
        <v/>
      </c>
      <c r="V220" s="130" t="str">
        <f>IF($B220="","",K220/(POWER(1+'Qredits maandlasten'!$C$8,$B220-1+1)))</f>
        <v/>
      </c>
      <c r="W220" s="129"/>
    </row>
    <row r="221" spans="1:23" s="134" customFormat="1" x14ac:dyDescent="0.2">
      <c r="A221" s="125"/>
      <c r="B221" s="126" t="str">
        <f>IF($B220="","",IF($B220+1&gt;'Qredits maandlasten'!$C$4,"",Schema!B220+1))</f>
        <v/>
      </c>
      <c r="C221" s="127" t="str">
        <f>IF($B220="","",IF($B220+1&gt;'Qredits maandlasten'!$C$4,"",EOMONTH(C220,0)+1))</f>
        <v/>
      </c>
      <c r="D221" s="125"/>
      <c r="E221" s="127" t="str">
        <f>IF($B220="","",IF($B220+1&gt;'Qredits maandlasten'!$C$4,"",F220+1))</f>
        <v/>
      </c>
      <c r="F221" s="127" t="str">
        <f>IF($B220="","",IF($B220+1&gt;'Qredits maandlasten'!$C$4,"",EOMONTH(E221,0)))</f>
        <v/>
      </c>
      <c r="G221" s="128" t="str">
        <f>IF($B220="","",IF($B220+1&gt;'Qredits maandlasten'!$C$4,"",(_xlfn.DAYS(F221,E221)+1)/DAY(F221)))</f>
        <v/>
      </c>
      <c r="H221" s="129"/>
      <c r="I221" s="130" t="str">
        <f>IF($B220="","",IF($B220+1&gt;'Qredits maandlasten'!$C$4,"",I220-J220))</f>
        <v/>
      </c>
      <c r="J221" s="130" t="str">
        <f>IF($B220="","",IF($B220+1&gt;'Qredits maandlasten'!$C$4,"",IF(B220&lt;'Qredits maandlasten'!$C$11-1,0,IF('Qredits maandlasten'!$C$10=dropdowns!$A$93,'Qredits maandlasten'!$J$3,IF('Qredits maandlasten'!$C$10=dropdowns!$A$92,IFERROR('Qredits maandlasten'!$J$3-K221,0),0)))))</f>
        <v/>
      </c>
      <c r="K221" s="130" t="str">
        <f>IF($B220="","",IF($B220+1&gt;'Qredits maandlasten'!$C$4,"",G221*I221*'Qredits maandlasten'!$C$8))</f>
        <v/>
      </c>
      <c r="L221" s="130" t="str">
        <f t="shared" si="17"/>
        <v/>
      </c>
      <c r="M221" s="130" t="str">
        <f t="shared" si="15"/>
        <v/>
      </c>
      <c r="N221" s="129"/>
      <c r="O221" s="131" t="str">
        <f>IF($B221="","",'Qredits maandlasten'!$C$8)</f>
        <v/>
      </c>
      <c r="P221" s="131" t="str">
        <f>IF($B221="","",'Qredits maandlasten'!$C$8*(POWER(1+'Qredits maandlasten'!$C$8,$B221-1+1)))</f>
        <v/>
      </c>
      <c r="Q221" s="131" t="str">
        <f t="shared" si="18"/>
        <v/>
      </c>
      <c r="R221" s="129"/>
      <c r="S221" s="130" t="str">
        <f t="shared" si="16"/>
        <v/>
      </c>
      <c r="T221" s="130" t="str">
        <f>IF(S221="","",J221/(POWER(1+'Qredits maandlasten'!$C$8,$B221-1+1)))</f>
        <v/>
      </c>
      <c r="U221" s="132" t="str">
        <f t="shared" si="19"/>
        <v/>
      </c>
      <c r="V221" s="130" t="str">
        <f>IF($B221="","",K221/(POWER(1+'Qredits maandlasten'!$C$8,$B221-1+1)))</f>
        <v/>
      </c>
      <c r="W221" s="129"/>
    </row>
    <row r="222" spans="1:23" s="134" customFormat="1" x14ac:dyDescent="0.2">
      <c r="A222" s="125"/>
      <c r="B222" s="126" t="str">
        <f>IF($B221="","",IF($B221+1&gt;'Qredits maandlasten'!$C$4,"",Schema!B221+1))</f>
        <v/>
      </c>
      <c r="C222" s="127" t="str">
        <f>IF($B221="","",IF($B221+1&gt;'Qredits maandlasten'!$C$4,"",EOMONTH(C221,0)+1))</f>
        <v/>
      </c>
      <c r="D222" s="125"/>
      <c r="E222" s="127" t="str">
        <f>IF($B221="","",IF($B221+1&gt;'Qredits maandlasten'!$C$4,"",F221+1))</f>
        <v/>
      </c>
      <c r="F222" s="127" t="str">
        <f>IF($B221="","",IF($B221+1&gt;'Qredits maandlasten'!$C$4,"",EOMONTH(E222,0)))</f>
        <v/>
      </c>
      <c r="G222" s="128" t="str">
        <f>IF($B221="","",IF($B221+1&gt;'Qredits maandlasten'!$C$4,"",(_xlfn.DAYS(F222,E222)+1)/DAY(F222)))</f>
        <v/>
      </c>
      <c r="H222" s="129"/>
      <c r="I222" s="130" t="str">
        <f>IF($B221="","",IF($B221+1&gt;'Qredits maandlasten'!$C$4,"",I221-J221))</f>
        <v/>
      </c>
      <c r="J222" s="130" t="str">
        <f>IF($B221="","",IF($B221+1&gt;'Qredits maandlasten'!$C$4,"",IF(B221&lt;'Qredits maandlasten'!$C$11-1,0,IF('Qredits maandlasten'!$C$10=dropdowns!$A$93,'Qredits maandlasten'!$J$3,IF('Qredits maandlasten'!$C$10=dropdowns!$A$92,IFERROR('Qredits maandlasten'!$J$3-K222,0),0)))))</f>
        <v/>
      </c>
      <c r="K222" s="130" t="str">
        <f>IF($B221="","",IF($B221+1&gt;'Qredits maandlasten'!$C$4,"",G222*I222*'Qredits maandlasten'!$C$8))</f>
        <v/>
      </c>
      <c r="L222" s="130" t="str">
        <f t="shared" si="17"/>
        <v/>
      </c>
      <c r="M222" s="130" t="str">
        <f t="shared" si="15"/>
        <v/>
      </c>
      <c r="N222" s="129"/>
      <c r="O222" s="131" t="str">
        <f>IF($B222="","",'Qredits maandlasten'!$C$8)</f>
        <v/>
      </c>
      <c r="P222" s="131" t="str">
        <f>IF($B222="","",'Qredits maandlasten'!$C$8*(POWER(1+'Qredits maandlasten'!$C$8,$B222-1+1)))</f>
        <v/>
      </c>
      <c r="Q222" s="131" t="str">
        <f t="shared" si="18"/>
        <v/>
      </c>
      <c r="R222" s="129"/>
      <c r="S222" s="130" t="str">
        <f t="shared" si="16"/>
        <v/>
      </c>
      <c r="T222" s="130" t="str">
        <f>IF(S222="","",J222/(POWER(1+'Qredits maandlasten'!$C$8,$B222-1+1)))</f>
        <v/>
      </c>
      <c r="U222" s="132" t="str">
        <f t="shared" si="19"/>
        <v/>
      </c>
      <c r="V222" s="130" t="str">
        <f>IF($B222="","",K222/(POWER(1+'Qredits maandlasten'!$C$8,$B222-1+1)))</f>
        <v/>
      </c>
      <c r="W222" s="129"/>
    </row>
    <row r="223" spans="1:23" s="134" customFormat="1" x14ac:dyDescent="0.2">
      <c r="A223" s="125"/>
      <c r="B223" s="126" t="str">
        <f>IF($B222="","",IF($B222+1&gt;'Qredits maandlasten'!$C$4,"",Schema!B222+1))</f>
        <v/>
      </c>
      <c r="C223" s="127" t="str">
        <f>IF($B222="","",IF($B222+1&gt;'Qredits maandlasten'!$C$4,"",EOMONTH(C222,0)+1))</f>
        <v/>
      </c>
      <c r="D223" s="125"/>
      <c r="E223" s="127" t="str">
        <f>IF($B222="","",IF($B222+1&gt;'Qredits maandlasten'!$C$4,"",F222+1))</f>
        <v/>
      </c>
      <c r="F223" s="127" t="str">
        <f>IF($B222="","",IF($B222+1&gt;'Qredits maandlasten'!$C$4,"",EOMONTH(E223,0)))</f>
        <v/>
      </c>
      <c r="G223" s="128" t="str">
        <f>IF($B222="","",IF($B222+1&gt;'Qredits maandlasten'!$C$4,"",(_xlfn.DAYS(F223,E223)+1)/DAY(F223)))</f>
        <v/>
      </c>
      <c r="H223" s="129"/>
      <c r="I223" s="130" t="str">
        <f>IF($B222="","",IF($B222+1&gt;'Qredits maandlasten'!$C$4,"",I222-J222))</f>
        <v/>
      </c>
      <c r="J223" s="130" t="str">
        <f>IF($B222="","",IF($B222+1&gt;'Qredits maandlasten'!$C$4,"",IF(B222&lt;'Qredits maandlasten'!$C$11-1,0,IF('Qredits maandlasten'!$C$10=dropdowns!$A$93,'Qredits maandlasten'!$J$3,IF('Qredits maandlasten'!$C$10=dropdowns!$A$92,IFERROR('Qredits maandlasten'!$J$3-K223,0),0)))))</f>
        <v/>
      </c>
      <c r="K223" s="130" t="str">
        <f>IF($B222="","",IF($B222+1&gt;'Qredits maandlasten'!$C$4,"",G223*I223*'Qredits maandlasten'!$C$8))</f>
        <v/>
      </c>
      <c r="L223" s="130" t="str">
        <f t="shared" si="17"/>
        <v/>
      </c>
      <c r="M223" s="130" t="str">
        <f t="shared" si="15"/>
        <v/>
      </c>
      <c r="N223" s="129"/>
      <c r="O223" s="131" t="str">
        <f>IF($B223="","",'Qredits maandlasten'!$C$8)</f>
        <v/>
      </c>
      <c r="P223" s="131" t="str">
        <f>IF($B223="","",'Qredits maandlasten'!$C$8*(POWER(1+'Qredits maandlasten'!$C$8,$B223-1+1)))</f>
        <v/>
      </c>
      <c r="Q223" s="131" t="str">
        <f t="shared" si="18"/>
        <v/>
      </c>
      <c r="R223" s="129"/>
      <c r="S223" s="130" t="str">
        <f t="shared" si="16"/>
        <v/>
      </c>
      <c r="T223" s="130" t="str">
        <f>IF(S223="","",J223/(POWER(1+'Qredits maandlasten'!$C$8,$B223-1+1)))</f>
        <v/>
      </c>
      <c r="U223" s="132" t="str">
        <f t="shared" si="19"/>
        <v/>
      </c>
      <c r="V223" s="130" t="str">
        <f>IF($B223="","",K223/(POWER(1+'Qredits maandlasten'!$C$8,$B223-1+1)))</f>
        <v/>
      </c>
      <c r="W223" s="129"/>
    </row>
    <row r="224" spans="1:23" s="134" customFormat="1" x14ac:dyDescent="0.2">
      <c r="A224" s="125"/>
      <c r="B224" s="126" t="str">
        <f>IF($B223="","",IF($B223+1&gt;'Qredits maandlasten'!$C$4,"",Schema!B223+1))</f>
        <v/>
      </c>
      <c r="C224" s="127" t="str">
        <f>IF($B223="","",IF($B223+1&gt;'Qredits maandlasten'!$C$4,"",EOMONTH(C223,0)+1))</f>
        <v/>
      </c>
      <c r="D224" s="125"/>
      <c r="E224" s="127" t="str">
        <f>IF($B223="","",IF($B223+1&gt;'Qredits maandlasten'!$C$4,"",F223+1))</f>
        <v/>
      </c>
      <c r="F224" s="127" t="str">
        <f>IF($B223="","",IF($B223+1&gt;'Qredits maandlasten'!$C$4,"",EOMONTH(E224,0)))</f>
        <v/>
      </c>
      <c r="G224" s="128" t="str">
        <f>IF($B223="","",IF($B223+1&gt;'Qredits maandlasten'!$C$4,"",(_xlfn.DAYS(F224,E224)+1)/DAY(F224)))</f>
        <v/>
      </c>
      <c r="H224" s="129"/>
      <c r="I224" s="130" t="str">
        <f>IF($B223="","",IF($B223+1&gt;'Qredits maandlasten'!$C$4,"",I223-J223))</f>
        <v/>
      </c>
      <c r="J224" s="130" t="str">
        <f>IF($B223="","",IF($B223+1&gt;'Qredits maandlasten'!$C$4,"",IF(B223&lt;'Qredits maandlasten'!$C$11-1,0,IF('Qredits maandlasten'!$C$10=dropdowns!$A$93,'Qredits maandlasten'!$J$3,IF('Qredits maandlasten'!$C$10=dropdowns!$A$92,IFERROR('Qredits maandlasten'!$J$3-K224,0),0)))))</f>
        <v/>
      </c>
      <c r="K224" s="130" t="str">
        <f>IF($B223="","",IF($B223+1&gt;'Qredits maandlasten'!$C$4,"",G224*I224*'Qredits maandlasten'!$C$8))</f>
        <v/>
      </c>
      <c r="L224" s="130" t="str">
        <f t="shared" si="17"/>
        <v/>
      </c>
      <c r="M224" s="130" t="str">
        <f t="shared" si="15"/>
        <v/>
      </c>
      <c r="N224" s="129"/>
      <c r="O224" s="131" t="str">
        <f>IF($B224="","",'Qredits maandlasten'!$C$8)</f>
        <v/>
      </c>
      <c r="P224" s="131" t="str">
        <f>IF($B224="","",'Qredits maandlasten'!$C$8*(POWER(1+'Qredits maandlasten'!$C$8,$B224-1+1)))</f>
        <v/>
      </c>
      <c r="Q224" s="131" t="str">
        <f t="shared" si="18"/>
        <v/>
      </c>
      <c r="R224" s="129"/>
      <c r="S224" s="130" t="str">
        <f t="shared" si="16"/>
        <v/>
      </c>
      <c r="T224" s="130" t="str">
        <f>IF(S224="","",J224/(POWER(1+'Qredits maandlasten'!$C$8,$B224-1+1)))</f>
        <v/>
      </c>
      <c r="U224" s="132" t="str">
        <f t="shared" si="19"/>
        <v/>
      </c>
      <c r="V224" s="130" t="str">
        <f>IF($B224="","",K224/(POWER(1+'Qredits maandlasten'!$C$8,$B224-1+1)))</f>
        <v/>
      </c>
      <c r="W224" s="129"/>
    </row>
    <row r="225" spans="1:23" s="134" customFormat="1" x14ac:dyDescent="0.2">
      <c r="A225" s="125"/>
      <c r="B225" s="126" t="str">
        <f>IF($B224="","",IF($B224+1&gt;'Qredits maandlasten'!$C$4,"",Schema!B224+1))</f>
        <v/>
      </c>
      <c r="C225" s="127" t="str">
        <f>IF($B224="","",IF($B224+1&gt;'Qredits maandlasten'!$C$4,"",EOMONTH(C224,0)+1))</f>
        <v/>
      </c>
      <c r="D225" s="125"/>
      <c r="E225" s="127" t="str">
        <f>IF($B224="","",IF($B224+1&gt;'Qredits maandlasten'!$C$4,"",F224+1))</f>
        <v/>
      </c>
      <c r="F225" s="127" t="str">
        <f>IF($B224="","",IF($B224+1&gt;'Qredits maandlasten'!$C$4,"",EOMONTH(E225,0)))</f>
        <v/>
      </c>
      <c r="G225" s="128" t="str">
        <f>IF($B224="","",IF($B224+1&gt;'Qredits maandlasten'!$C$4,"",(_xlfn.DAYS(F225,E225)+1)/DAY(F225)))</f>
        <v/>
      </c>
      <c r="H225" s="129"/>
      <c r="I225" s="130" t="str">
        <f>IF($B224="","",IF($B224+1&gt;'Qredits maandlasten'!$C$4,"",I224-J224))</f>
        <v/>
      </c>
      <c r="J225" s="130" t="str">
        <f>IF($B224="","",IF($B224+1&gt;'Qredits maandlasten'!$C$4,"",IF(B224&lt;'Qredits maandlasten'!$C$11-1,0,IF('Qredits maandlasten'!$C$10=dropdowns!$A$93,'Qredits maandlasten'!$J$3,IF('Qredits maandlasten'!$C$10=dropdowns!$A$92,IFERROR('Qredits maandlasten'!$J$3-K225,0),0)))))</f>
        <v/>
      </c>
      <c r="K225" s="130" t="str">
        <f>IF($B224="","",IF($B224+1&gt;'Qredits maandlasten'!$C$4,"",G225*I225*'Qredits maandlasten'!$C$8))</f>
        <v/>
      </c>
      <c r="L225" s="130" t="str">
        <f t="shared" si="17"/>
        <v/>
      </c>
      <c r="M225" s="130" t="str">
        <f t="shared" si="15"/>
        <v/>
      </c>
      <c r="N225" s="129"/>
      <c r="O225" s="131" t="str">
        <f>IF($B225="","",'Qredits maandlasten'!$C$8)</f>
        <v/>
      </c>
      <c r="P225" s="131" t="str">
        <f>IF($B225="","",'Qredits maandlasten'!$C$8*(POWER(1+'Qredits maandlasten'!$C$8,$B225-1+1)))</f>
        <v/>
      </c>
      <c r="Q225" s="131" t="str">
        <f t="shared" si="18"/>
        <v/>
      </c>
      <c r="R225" s="129"/>
      <c r="S225" s="130" t="str">
        <f t="shared" si="16"/>
        <v/>
      </c>
      <c r="T225" s="130" t="str">
        <f>IF(S225="","",J225/(POWER(1+'Qredits maandlasten'!$C$8,$B225-1+1)))</f>
        <v/>
      </c>
      <c r="U225" s="132" t="str">
        <f t="shared" si="19"/>
        <v/>
      </c>
      <c r="V225" s="130" t="str">
        <f>IF($B225="","",K225/(POWER(1+'Qredits maandlasten'!$C$8,$B225-1+1)))</f>
        <v/>
      </c>
      <c r="W225" s="129"/>
    </row>
    <row r="226" spans="1:23" s="134" customFormat="1" x14ac:dyDescent="0.2">
      <c r="A226" s="125"/>
      <c r="B226" s="126" t="str">
        <f>IF($B225="","",IF($B225+1&gt;'Qredits maandlasten'!$C$4,"",Schema!B225+1))</f>
        <v/>
      </c>
      <c r="C226" s="127" t="str">
        <f>IF($B225="","",IF($B225+1&gt;'Qredits maandlasten'!$C$4,"",EOMONTH(C225,0)+1))</f>
        <v/>
      </c>
      <c r="D226" s="125"/>
      <c r="E226" s="127" t="str">
        <f>IF($B225="","",IF($B225+1&gt;'Qredits maandlasten'!$C$4,"",F225+1))</f>
        <v/>
      </c>
      <c r="F226" s="127" t="str">
        <f>IF($B225="","",IF($B225+1&gt;'Qredits maandlasten'!$C$4,"",EOMONTH(E226,0)))</f>
        <v/>
      </c>
      <c r="G226" s="128" t="str">
        <f>IF($B225="","",IF($B225+1&gt;'Qredits maandlasten'!$C$4,"",(_xlfn.DAYS(F226,E226)+1)/DAY(F226)))</f>
        <v/>
      </c>
      <c r="H226" s="129"/>
      <c r="I226" s="130" t="str">
        <f>IF($B225="","",IF($B225+1&gt;'Qredits maandlasten'!$C$4,"",I225-J225))</f>
        <v/>
      </c>
      <c r="J226" s="130" t="str">
        <f>IF($B225="","",IF($B225+1&gt;'Qredits maandlasten'!$C$4,"",IF(B225&lt;'Qredits maandlasten'!$C$11-1,0,IF('Qredits maandlasten'!$C$10=dropdowns!$A$93,'Qredits maandlasten'!$J$3,IF('Qredits maandlasten'!$C$10=dropdowns!$A$92,IFERROR('Qredits maandlasten'!$J$3-K226,0),0)))))</f>
        <v/>
      </c>
      <c r="K226" s="130" t="str">
        <f>IF($B225="","",IF($B225+1&gt;'Qredits maandlasten'!$C$4,"",G226*I226*'Qredits maandlasten'!$C$8))</f>
        <v/>
      </c>
      <c r="L226" s="130" t="str">
        <f t="shared" si="17"/>
        <v/>
      </c>
      <c r="M226" s="130" t="str">
        <f t="shared" si="15"/>
        <v/>
      </c>
      <c r="N226" s="129"/>
      <c r="O226" s="131" t="str">
        <f>IF($B226="","",'Qredits maandlasten'!$C$8)</f>
        <v/>
      </c>
      <c r="P226" s="131" t="str">
        <f>IF($B226="","",'Qredits maandlasten'!$C$8*(POWER(1+'Qredits maandlasten'!$C$8,$B226-1+1)))</f>
        <v/>
      </c>
      <c r="Q226" s="131" t="str">
        <f t="shared" si="18"/>
        <v/>
      </c>
      <c r="R226" s="129"/>
      <c r="S226" s="130" t="str">
        <f t="shared" si="16"/>
        <v/>
      </c>
      <c r="T226" s="130" t="str">
        <f>IF(S226="","",J226/(POWER(1+'Qredits maandlasten'!$C$8,$B226-1+1)))</f>
        <v/>
      </c>
      <c r="U226" s="132" t="str">
        <f t="shared" si="19"/>
        <v/>
      </c>
      <c r="V226" s="130" t="str">
        <f>IF($B226="","",K226/(POWER(1+'Qredits maandlasten'!$C$8,$B226-1+1)))</f>
        <v/>
      </c>
      <c r="W226" s="129"/>
    </row>
    <row r="227" spans="1:23" s="134" customFormat="1" x14ac:dyDescent="0.2">
      <c r="A227" s="125"/>
      <c r="B227" s="126" t="str">
        <f>IF($B226="","",IF($B226+1&gt;'Qredits maandlasten'!$C$4,"",Schema!B226+1))</f>
        <v/>
      </c>
      <c r="C227" s="127" t="str">
        <f>IF($B226="","",IF($B226+1&gt;'Qredits maandlasten'!$C$4,"",EOMONTH(C226,0)+1))</f>
        <v/>
      </c>
      <c r="D227" s="125"/>
      <c r="E227" s="127" t="str">
        <f>IF($B226="","",IF($B226+1&gt;'Qredits maandlasten'!$C$4,"",F226+1))</f>
        <v/>
      </c>
      <c r="F227" s="127" t="str">
        <f>IF($B226="","",IF($B226+1&gt;'Qredits maandlasten'!$C$4,"",EOMONTH(E227,0)))</f>
        <v/>
      </c>
      <c r="G227" s="128" t="str">
        <f>IF($B226="","",IF($B226+1&gt;'Qredits maandlasten'!$C$4,"",(_xlfn.DAYS(F227,E227)+1)/DAY(F227)))</f>
        <v/>
      </c>
      <c r="H227" s="129"/>
      <c r="I227" s="130" t="str">
        <f>IF($B226="","",IF($B226+1&gt;'Qredits maandlasten'!$C$4,"",I226-J226))</f>
        <v/>
      </c>
      <c r="J227" s="130" t="str">
        <f>IF($B226="","",IF($B226+1&gt;'Qredits maandlasten'!$C$4,"",IF(B226&lt;'Qredits maandlasten'!$C$11-1,0,IF('Qredits maandlasten'!$C$10=dropdowns!$A$93,'Qredits maandlasten'!$J$3,IF('Qredits maandlasten'!$C$10=dropdowns!$A$92,IFERROR('Qredits maandlasten'!$J$3-K227,0),0)))))</f>
        <v/>
      </c>
      <c r="K227" s="130" t="str">
        <f>IF($B226="","",IF($B226+1&gt;'Qredits maandlasten'!$C$4,"",G227*I227*'Qredits maandlasten'!$C$8))</f>
        <v/>
      </c>
      <c r="L227" s="130" t="str">
        <f t="shared" si="17"/>
        <v/>
      </c>
      <c r="M227" s="130" t="str">
        <f t="shared" si="15"/>
        <v/>
      </c>
      <c r="N227" s="129"/>
      <c r="O227" s="131" t="str">
        <f>IF($B227="","",'Qredits maandlasten'!$C$8)</f>
        <v/>
      </c>
      <c r="P227" s="131" t="str">
        <f>IF($B227="","",'Qredits maandlasten'!$C$8*(POWER(1+'Qredits maandlasten'!$C$8,$B227-1+1)))</f>
        <v/>
      </c>
      <c r="Q227" s="131" t="str">
        <f t="shared" si="18"/>
        <v/>
      </c>
      <c r="R227" s="129"/>
      <c r="S227" s="130" t="str">
        <f t="shared" si="16"/>
        <v/>
      </c>
      <c r="T227" s="130" t="str">
        <f>IF(S227="","",J227/(POWER(1+'Qredits maandlasten'!$C$8,$B227-1+1)))</f>
        <v/>
      </c>
      <c r="U227" s="132" t="str">
        <f t="shared" si="19"/>
        <v/>
      </c>
      <c r="V227" s="130" t="str">
        <f>IF($B227="","",K227/(POWER(1+'Qredits maandlasten'!$C$8,$B227-1+1)))</f>
        <v/>
      </c>
      <c r="W227" s="129"/>
    </row>
    <row r="228" spans="1:23" s="134" customFormat="1" x14ac:dyDescent="0.2">
      <c r="A228" s="125"/>
      <c r="B228" s="126" t="str">
        <f>IF($B227="","",IF($B227+1&gt;'Qredits maandlasten'!$C$4,"",Schema!B227+1))</f>
        <v/>
      </c>
      <c r="C228" s="127" t="str">
        <f>IF($B227="","",IF($B227+1&gt;'Qredits maandlasten'!$C$4,"",EOMONTH(C227,0)+1))</f>
        <v/>
      </c>
      <c r="D228" s="125"/>
      <c r="E228" s="127" t="str">
        <f>IF($B227="","",IF($B227+1&gt;'Qredits maandlasten'!$C$4,"",F227+1))</f>
        <v/>
      </c>
      <c r="F228" s="127" t="str">
        <f>IF($B227="","",IF($B227+1&gt;'Qredits maandlasten'!$C$4,"",EOMONTH(E228,0)))</f>
        <v/>
      </c>
      <c r="G228" s="128" t="str">
        <f>IF($B227="","",IF($B227+1&gt;'Qredits maandlasten'!$C$4,"",(_xlfn.DAYS(F228,E228)+1)/DAY(F228)))</f>
        <v/>
      </c>
      <c r="H228" s="129"/>
      <c r="I228" s="130" t="str">
        <f>IF($B227="","",IF($B227+1&gt;'Qredits maandlasten'!$C$4,"",I227-J227))</f>
        <v/>
      </c>
      <c r="J228" s="130" t="str">
        <f>IF($B227="","",IF($B227+1&gt;'Qredits maandlasten'!$C$4,"",IF(B227&lt;'Qredits maandlasten'!$C$11-1,0,IF('Qredits maandlasten'!$C$10=dropdowns!$A$93,'Qredits maandlasten'!$J$3,IF('Qredits maandlasten'!$C$10=dropdowns!$A$92,IFERROR('Qredits maandlasten'!$J$3-K228,0),0)))))</f>
        <v/>
      </c>
      <c r="K228" s="130" t="str">
        <f>IF($B227="","",IF($B227+1&gt;'Qredits maandlasten'!$C$4,"",G228*I228*'Qredits maandlasten'!$C$8))</f>
        <v/>
      </c>
      <c r="L228" s="130" t="str">
        <f t="shared" si="17"/>
        <v/>
      </c>
      <c r="M228" s="130" t="str">
        <f t="shared" si="15"/>
        <v/>
      </c>
      <c r="N228" s="129"/>
      <c r="O228" s="131" t="str">
        <f>IF($B228="","",'Qredits maandlasten'!$C$8)</f>
        <v/>
      </c>
      <c r="P228" s="131" t="str">
        <f>IF($B228="","",'Qredits maandlasten'!$C$8*(POWER(1+'Qredits maandlasten'!$C$8,$B228-1+1)))</f>
        <v/>
      </c>
      <c r="Q228" s="131" t="str">
        <f t="shared" si="18"/>
        <v/>
      </c>
      <c r="R228" s="129"/>
      <c r="S228" s="130" t="str">
        <f t="shared" si="16"/>
        <v/>
      </c>
      <c r="T228" s="130" t="str">
        <f>IF(S228="","",J228/(POWER(1+'Qredits maandlasten'!$C$8,$B228-1+1)))</f>
        <v/>
      </c>
      <c r="U228" s="132" t="str">
        <f t="shared" si="19"/>
        <v/>
      </c>
      <c r="V228" s="130" t="str">
        <f>IF($B228="","",K228/(POWER(1+'Qredits maandlasten'!$C$8,$B228-1+1)))</f>
        <v/>
      </c>
      <c r="W228" s="129"/>
    </row>
    <row r="229" spans="1:23" s="134" customFormat="1" x14ac:dyDescent="0.2">
      <c r="A229" s="125"/>
      <c r="B229" s="126" t="str">
        <f>IF($B228="","",IF($B228+1&gt;'Qredits maandlasten'!$C$4,"",Schema!B228+1))</f>
        <v/>
      </c>
      <c r="C229" s="127" t="str">
        <f>IF($B228="","",IF($B228+1&gt;'Qredits maandlasten'!$C$4,"",EOMONTH(C228,0)+1))</f>
        <v/>
      </c>
      <c r="D229" s="125"/>
      <c r="E229" s="127" t="str">
        <f>IF($B228="","",IF($B228+1&gt;'Qredits maandlasten'!$C$4,"",F228+1))</f>
        <v/>
      </c>
      <c r="F229" s="127" t="str">
        <f>IF($B228="","",IF($B228+1&gt;'Qredits maandlasten'!$C$4,"",EOMONTH(E229,0)))</f>
        <v/>
      </c>
      <c r="G229" s="128" t="str">
        <f>IF($B228="","",IF($B228+1&gt;'Qredits maandlasten'!$C$4,"",(_xlfn.DAYS(F229,E229)+1)/DAY(F229)))</f>
        <v/>
      </c>
      <c r="H229" s="129"/>
      <c r="I229" s="130" t="str">
        <f>IF($B228="","",IF($B228+1&gt;'Qredits maandlasten'!$C$4,"",I228-J228))</f>
        <v/>
      </c>
      <c r="J229" s="130" t="str">
        <f>IF($B228="","",IF($B228+1&gt;'Qredits maandlasten'!$C$4,"",IF(B228&lt;'Qredits maandlasten'!$C$11-1,0,IF('Qredits maandlasten'!$C$10=dropdowns!$A$93,'Qredits maandlasten'!$J$3,IF('Qredits maandlasten'!$C$10=dropdowns!$A$92,IFERROR('Qredits maandlasten'!$J$3-K229,0),0)))))</f>
        <v/>
      </c>
      <c r="K229" s="130" t="str">
        <f>IF($B228="","",IF($B228+1&gt;'Qredits maandlasten'!$C$4,"",G229*I229*'Qredits maandlasten'!$C$8))</f>
        <v/>
      </c>
      <c r="L229" s="130" t="str">
        <f t="shared" si="17"/>
        <v/>
      </c>
      <c r="M229" s="130" t="str">
        <f t="shared" si="15"/>
        <v/>
      </c>
      <c r="N229" s="129"/>
      <c r="O229" s="131" t="str">
        <f>IF($B229="","",'Qredits maandlasten'!$C$8)</f>
        <v/>
      </c>
      <c r="P229" s="131" t="str">
        <f>IF($B229="","",'Qredits maandlasten'!$C$8*(POWER(1+'Qredits maandlasten'!$C$8,$B229-1+1)))</f>
        <v/>
      </c>
      <c r="Q229" s="131" t="str">
        <f t="shared" si="18"/>
        <v/>
      </c>
      <c r="R229" s="129"/>
      <c r="S229" s="130" t="str">
        <f t="shared" si="16"/>
        <v/>
      </c>
      <c r="T229" s="130" t="str">
        <f>IF(S229="","",J229/(POWER(1+'Qredits maandlasten'!$C$8,$B229-1+1)))</f>
        <v/>
      </c>
      <c r="U229" s="132" t="str">
        <f t="shared" si="19"/>
        <v/>
      </c>
      <c r="V229" s="130" t="str">
        <f>IF($B229="","",K229/(POWER(1+'Qredits maandlasten'!$C$8,$B229-1+1)))</f>
        <v/>
      </c>
      <c r="W229" s="129"/>
    </row>
    <row r="230" spans="1:23" s="134" customFormat="1" x14ac:dyDescent="0.2">
      <c r="A230" s="125"/>
      <c r="B230" s="126" t="str">
        <f>IF($B229="","",IF($B229+1&gt;'Qredits maandlasten'!$C$4,"",Schema!B229+1))</f>
        <v/>
      </c>
      <c r="C230" s="127" t="str">
        <f>IF($B229="","",IF($B229+1&gt;'Qredits maandlasten'!$C$4,"",EOMONTH(C229,0)+1))</f>
        <v/>
      </c>
      <c r="D230" s="125"/>
      <c r="E230" s="127" t="str">
        <f>IF($B229="","",IF($B229+1&gt;'Qredits maandlasten'!$C$4,"",F229+1))</f>
        <v/>
      </c>
      <c r="F230" s="127" t="str">
        <f>IF($B229="","",IF($B229+1&gt;'Qredits maandlasten'!$C$4,"",EOMONTH(E230,0)))</f>
        <v/>
      </c>
      <c r="G230" s="128" t="str">
        <f>IF($B229="","",IF($B229+1&gt;'Qredits maandlasten'!$C$4,"",(_xlfn.DAYS(F230,E230)+1)/DAY(F230)))</f>
        <v/>
      </c>
      <c r="H230" s="129"/>
      <c r="I230" s="130" t="str">
        <f>IF($B229="","",IF($B229+1&gt;'Qredits maandlasten'!$C$4,"",I229-J229))</f>
        <v/>
      </c>
      <c r="J230" s="130" t="str">
        <f>IF($B229="","",IF($B229+1&gt;'Qredits maandlasten'!$C$4,"",IF(B229&lt;'Qredits maandlasten'!$C$11-1,0,IF('Qredits maandlasten'!$C$10=dropdowns!$A$93,'Qredits maandlasten'!$J$3,IF('Qredits maandlasten'!$C$10=dropdowns!$A$92,IFERROR('Qredits maandlasten'!$J$3-K230,0),0)))))</f>
        <v/>
      </c>
      <c r="K230" s="130" t="str">
        <f>IF($B229="","",IF($B229+1&gt;'Qredits maandlasten'!$C$4,"",G230*I230*'Qredits maandlasten'!$C$8))</f>
        <v/>
      </c>
      <c r="L230" s="130" t="str">
        <f t="shared" si="17"/>
        <v/>
      </c>
      <c r="M230" s="130" t="str">
        <f t="shared" si="15"/>
        <v/>
      </c>
      <c r="N230" s="129"/>
      <c r="O230" s="131" t="str">
        <f>IF($B230="","",'Qredits maandlasten'!$C$8)</f>
        <v/>
      </c>
      <c r="P230" s="131" t="str">
        <f>IF($B230="","",'Qredits maandlasten'!$C$8*(POWER(1+'Qredits maandlasten'!$C$8,$B230-1+1)))</f>
        <v/>
      </c>
      <c r="Q230" s="131" t="str">
        <f t="shared" si="18"/>
        <v/>
      </c>
      <c r="R230" s="129"/>
      <c r="S230" s="130" t="str">
        <f t="shared" si="16"/>
        <v/>
      </c>
      <c r="T230" s="130" t="str">
        <f>IF(S230="","",J230/(POWER(1+'Qredits maandlasten'!$C$8,$B230-1+1)))</f>
        <v/>
      </c>
      <c r="U230" s="132" t="str">
        <f t="shared" si="19"/>
        <v/>
      </c>
      <c r="V230" s="130" t="str">
        <f>IF($B230="","",K230/(POWER(1+'Qredits maandlasten'!$C$8,$B230-1+1)))</f>
        <v/>
      </c>
      <c r="W230" s="129"/>
    </row>
    <row r="231" spans="1:23" s="134" customFormat="1" x14ac:dyDescent="0.2">
      <c r="A231" s="125"/>
      <c r="B231" s="126" t="str">
        <f>IF($B230="","",IF($B230+1&gt;'Qredits maandlasten'!$C$4,"",Schema!B230+1))</f>
        <v/>
      </c>
      <c r="C231" s="127" t="str">
        <f>IF($B230="","",IF($B230+1&gt;'Qredits maandlasten'!$C$4,"",EOMONTH(C230,0)+1))</f>
        <v/>
      </c>
      <c r="D231" s="125"/>
      <c r="E231" s="127" t="str">
        <f>IF($B230="","",IF($B230+1&gt;'Qredits maandlasten'!$C$4,"",F230+1))</f>
        <v/>
      </c>
      <c r="F231" s="127" t="str">
        <f>IF($B230="","",IF($B230+1&gt;'Qredits maandlasten'!$C$4,"",EOMONTH(E231,0)))</f>
        <v/>
      </c>
      <c r="G231" s="128" t="str">
        <f>IF($B230="","",IF($B230+1&gt;'Qredits maandlasten'!$C$4,"",(_xlfn.DAYS(F231,E231)+1)/DAY(F231)))</f>
        <v/>
      </c>
      <c r="H231" s="129"/>
      <c r="I231" s="130" t="str">
        <f>IF($B230="","",IF($B230+1&gt;'Qredits maandlasten'!$C$4,"",I230-J230))</f>
        <v/>
      </c>
      <c r="J231" s="130" t="str">
        <f>IF($B230="","",IF($B230+1&gt;'Qredits maandlasten'!$C$4,"",IF(B230&lt;'Qredits maandlasten'!$C$11-1,0,IF('Qredits maandlasten'!$C$10=dropdowns!$A$93,'Qredits maandlasten'!$J$3,IF('Qredits maandlasten'!$C$10=dropdowns!$A$92,IFERROR('Qredits maandlasten'!$J$3-K231,0),0)))))</f>
        <v/>
      </c>
      <c r="K231" s="130" t="str">
        <f>IF($B230="","",IF($B230+1&gt;'Qredits maandlasten'!$C$4,"",G231*I231*'Qredits maandlasten'!$C$8))</f>
        <v/>
      </c>
      <c r="L231" s="130" t="str">
        <f t="shared" si="17"/>
        <v/>
      </c>
      <c r="M231" s="130" t="str">
        <f t="shared" si="15"/>
        <v/>
      </c>
      <c r="N231" s="129"/>
      <c r="O231" s="131" t="str">
        <f>IF($B231="","",'Qredits maandlasten'!$C$8)</f>
        <v/>
      </c>
      <c r="P231" s="131" t="str">
        <f>IF($B231="","",'Qredits maandlasten'!$C$8*(POWER(1+'Qredits maandlasten'!$C$8,$B231-1+1)))</f>
        <v/>
      </c>
      <c r="Q231" s="131" t="str">
        <f t="shared" si="18"/>
        <v/>
      </c>
      <c r="R231" s="129"/>
      <c r="S231" s="130" t="str">
        <f t="shared" si="16"/>
        <v/>
      </c>
      <c r="T231" s="130" t="str">
        <f>IF(S231="","",J231/(POWER(1+'Qredits maandlasten'!$C$8,$B231-1+1)))</f>
        <v/>
      </c>
      <c r="U231" s="132" t="str">
        <f t="shared" si="19"/>
        <v/>
      </c>
      <c r="V231" s="130" t="str">
        <f>IF($B231="","",K231/(POWER(1+'Qredits maandlasten'!$C$8,$B231-1+1)))</f>
        <v/>
      </c>
      <c r="W231" s="129"/>
    </row>
    <row r="232" spans="1:23" s="134" customFormat="1" x14ac:dyDescent="0.2">
      <c r="A232" s="125"/>
      <c r="B232" s="126" t="str">
        <f>IF($B231="","",IF($B231+1&gt;'Qredits maandlasten'!$C$4,"",Schema!B231+1))</f>
        <v/>
      </c>
      <c r="C232" s="127" t="str">
        <f>IF($B231="","",IF($B231+1&gt;'Qredits maandlasten'!$C$4,"",EOMONTH(C231,0)+1))</f>
        <v/>
      </c>
      <c r="D232" s="125"/>
      <c r="E232" s="127" t="str">
        <f>IF($B231="","",IF($B231+1&gt;'Qredits maandlasten'!$C$4,"",F231+1))</f>
        <v/>
      </c>
      <c r="F232" s="127" t="str">
        <f>IF($B231="","",IF($B231+1&gt;'Qredits maandlasten'!$C$4,"",EOMONTH(E232,0)))</f>
        <v/>
      </c>
      <c r="G232" s="128" t="str">
        <f>IF($B231="","",IF($B231+1&gt;'Qredits maandlasten'!$C$4,"",(_xlfn.DAYS(F232,E232)+1)/DAY(F232)))</f>
        <v/>
      </c>
      <c r="H232" s="129"/>
      <c r="I232" s="130" t="str">
        <f>IF($B231="","",IF($B231+1&gt;'Qredits maandlasten'!$C$4,"",I231-J231))</f>
        <v/>
      </c>
      <c r="J232" s="130" t="str">
        <f>IF($B231="","",IF($B231+1&gt;'Qredits maandlasten'!$C$4,"",IF(B231&lt;'Qredits maandlasten'!$C$11-1,0,IF('Qredits maandlasten'!$C$10=dropdowns!$A$93,'Qredits maandlasten'!$J$3,IF('Qredits maandlasten'!$C$10=dropdowns!$A$92,IFERROR('Qredits maandlasten'!$J$3-K232,0),0)))))</f>
        <v/>
      </c>
      <c r="K232" s="130" t="str">
        <f>IF($B231="","",IF($B231+1&gt;'Qredits maandlasten'!$C$4,"",G232*I232*'Qredits maandlasten'!$C$8))</f>
        <v/>
      </c>
      <c r="L232" s="130" t="str">
        <f t="shared" si="17"/>
        <v/>
      </c>
      <c r="M232" s="130" t="str">
        <f t="shared" si="15"/>
        <v/>
      </c>
      <c r="N232" s="129"/>
      <c r="O232" s="131" t="str">
        <f>IF($B232="","",'Qredits maandlasten'!$C$8)</f>
        <v/>
      </c>
      <c r="P232" s="131" t="str">
        <f>IF($B232="","",'Qredits maandlasten'!$C$8*(POWER(1+'Qredits maandlasten'!$C$8,$B232-1+1)))</f>
        <v/>
      </c>
      <c r="Q232" s="131" t="str">
        <f t="shared" si="18"/>
        <v/>
      </c>
      <c r="R232" s="129"/>
      <c r="S232" s="130" t="str">
        <f t="shared" si="16"/>
        <v/>
      </c>
      <c r="T232" s="130" t="str">
        <f>IF(S232="","",J232/(POWER(1+'Qredits maandlasten'!$C$8,$B232-1+1)))</f>
        <v/>
      </c>
      <c r="U232" s="132" t="str">
        <f t="shared" si="19"/>
        <v/>
      </c>
      <c r="V232" s="130" t="str">
        <f>IF($B232="","",K232/(POWER(1+'Qredits maandlasten'!$C$8,$B232-1+1)))</f>
        <v/>
      </c>
      <c r="W232" s="129"/>
    </row>
    <row r="233" spans="1:23" s="134" customFormat="1" x14ac:dyDescent="0.2">
      <c r="A233" s="125"/>
      <c r="B233" s="126" t="str">
        <f>IF($B232="","",IF($B232+1&gt;'Qredits maandlasten'!$C$4,"",Schema!B232+1))</f>
        <v/>
      </c>
      <c r="C233" s="127" t="str">
        <f>IF($B232="","",IF($B232+1&gt;'Qredits maandlasten'!$C$4,"",EOMONTH(C232,0)+1))</f>
        <v/>
      </c>
      <c r="D233" s="125"/>
      <c r="E233" s="127" t="str">
        <f>IF($B232="","",IF($B232+1&gt;'Qredits maandlasten'!$C$4,"",F232+1))</f>
        <v/>
      </c>
      <c r="F233" s="127" t="str">
        <f>IF($B232="","",IF($B232+1&gt;'Qredits maandlasten'!$C$4,"",EOMONTH(E233,0)))</f>
        <v/>
      </c>
      <c r="G233" s="128" t="str">
        <f>IF($B232="","",IF($B232+1&gt;'Qredits maandlasten'!$C$4,"",(_xlfn.DAYS(F233,E233)+1)/DAY(F233)))</f>
        <v/>
      </c>
      <c r="H233" s="129"/>
      <c r="I233" s="130" t="str">
        <f>IF($B232="","",IF($B232+1&gt;'Qredits maandlasten'!$C$4,"",I232-J232))</f>
        <v/>
      </c>
      <c r="J233" s="130" t="str">
        <f>IF($B232="","",IF($B232+1&gt;'Qredits maandlasten'!$C$4,"",IF(B232&lt;'Qredits maandlasten'!$C$11-1,0,IF('Qredits maandlasten'!$C$10=dropdowns!$A$93,'Qredits maandlasten'!$J$3,IF('Qredits maandlasten'!$C$10=dropdowns!$A$92,IFERROR('Qredits maandlasten'!$J$3-K233,0),0)))))</f>
        <v/>
      </c>
      <c r="K233" s="130" t="str">
        <f>IF($B232="","",IF($B232+1&gt;'Qredits maandlasten'!$C$4,"",G233*I233*'Qredits maandlasten'!$C$8))</f>
        <v/>
      </c>
      <c r="L233" s="130" t="str">
        <f t="shared" si="17"/>
        <v/>
      </c>
      <c r="M233" s="130" t="str">
        <f t="shared" si="15"/>
        <v/>
      </c>
      <c r="N233" s="129"/>
      <c r="O233" s="131" t="str">
        <f>IF($B233="","",'Qredits maandlasten'!$C$8)</f>
        <v/>
      </c>
      <c r="P233" s="131" t="str">
        <f>IF($B233="","",'Qredits maandlasten'!$C$8*(POWER(1+'Qredits maandlasten'!$C$8,$B233-1+1)))</f>
        <v/>
      </c>
      <c r="Q233" s="131" t="str">
        <f t="shared" si="18"/>
        <v/>
      </c>
      <c r="R233" s="129"/>
      <c r="S233" s="130" t="str">
        <f t="shared" si="16"/>
        <v/>
      </c>
      <c r="T233" s="130" t="str">
        <f>IF(S233="","",J233/(POWER(1+'Qredits maandlasten'!$C$8,$B233-1+1)))</f>
        <v/>
      </c>
      <c r="U233" s="132" t="str">
        <f t="shared" si="19"/>
        <v/>
      </c>
      <c r="V233" s="130" t="str">
        <f>IF($B233="","",K233/(POWER(1+'Qredits maandlasten'!$C$8,$B233-1+1)))</f>
        <v/>
      </c>
      <c r="W233" s="129"/>
    </row>
    <row r="234" spans="1:23" s="134" customFormat="1" x14ac:dyDescent="0.2">
      <c r="A234" s="125"/>
      <c r="B234" s="126" t="str">
        <f>IF($B233="","",IF($B233+1&gt;'Qredits maandlasten'!$C$4,"",Schema!B233+1))</f>
        <v/>
      </c>
      <c r="C234" s="127" t="str">
        <f>IF($B233="","",IF($B233+1&gt;'Qredits maandlasten'!$C$4,"",EOMONTH(C233,0)+1))</f>
        <v/>
      </c>
      <c r="D234" s="125"/>
      <c r="E234" s="127" t="str">
        <f>IF($B233="","",IF($B233+1&gt;'Qredits maandlasten'!$C$4,"",F233+1))</f>
        <v/>
      </c>
      <c r="F234" s="127" t="str">
        <f>IF($B233="","",IF($B233+1&gt;'Qredits maandlasten'!$C$4,"",EOMONTH(E234,0)))</f>
        <v/>
      </c>
      <c r="G234" s="128" t="str">
        <f>IF($B233="","",IF($B233+1&gt;'Qredits maandlasten'!$C$4,"",(_xlfn.DAYS(F234,E234)+1)/DAY(F234)))</f>
        <v/>
      </c>
      <c r="H234" s="129"/>
      <c r="I234" s="130" t="str">
        <f>IF($B233="","",IF($B233+1&gt;'Qredits maandlasten'!$C$4,"",I233-J233))</f>
        <v/>
      </c>
      <c r="J234" s="130" t="str">
        <f>IF($B233="","",IF($B233+1&gt;'Qredits maandlasten'!$C$4,"",IF(B233&lt;'Qredits maandlasten'!$C$11-1,0,IF('Qredits maandlasten'!$C$10=dropdowns!$A$93,'Qredits maandlasten'!$J$3,IF('Qredits maandlasten'!$C$10=dropdowns!$A$92,IFERROR('Qredits maandlasten'!$J$3-K234,0),0)))))</f>
        <v/>
      </c>
      <c r="K234" s="130" t="str">
        <f>IF($B233="","",IF($B233+1&gt;'Qredits maandlasten'!$C$4,"",G234*I234*'Qredits maandlasten'!$C$8))</f>
        <v/>
      </c>
      <c r="L234" s="130" t="str">
        <f t="shared" si="17"/>
        <v/>
      </c>
      <c r="M234" s="130" t="str">
        <f t="shared" si="15"/>
        <v/>
      </c>
      <c r="N234" s="129"/>
      <c r="O234" s="131" t="str">
        <f>IF($B234="","",'Qredits maandlasten'!$C$8)</f>
        <v/>
      </c>
      <c r="P234" s="131" t="str">
        <f>IF($B234="","",'Qredits maandlasten'!$C$8*(POWER(1+'Qredits maandlasten'!$C$8,$B234-1+1)))</f>
        <v/>
      </c>
      <c r="Q234" s="131" t="str">
        <f t="shared" si="18"/>
        <v/>
      </c>
      <c r="R234" s="129"/>
      <c r="S234" s="130" t="str">
        <f t="shared" si="16"/>
        <v/>
      </c>
      <c r="T234" s="130" t="str">
        <f>IF(S234="","",J234/(POWER(1+'Qredits maandlasten'!$C$8,$B234-1+1)))</f>
        <v/>
      </c>
      <c r="U234" s="132" t="str">
        <f t="shared" si="19"/>
        <v/>
      </c>
      <c r="V234" s="130" t="str">
        <f>IF($B234="","",K234/(POWER(1+'Qredits maandlasten'!$C$8,$B234-1+1)))</f>
        <v/>
      </c>
      <c r="W234" s="129"/>
    </row>
    <row r="235" spans="1:23" s="134" customFormat="1" x14ac:dyDescent="0.2">
      <c r="A235" s="125"/>
      <c r="B235" s="126" t="str">
        <f>IF($B234="","",IF($B234+1&gt;'Qredits maandlasten'!$C$4,"",Schema!B234+1))</f>
        <v/>
      </c>
      <c r="C235" s="127" t="str">
        <f>IF($B234="","",IF($B234+1&gt;'Qredits maandlasten'!$C$4,"",EOMONTH(C234,0)+1))</f>
        <v/>
      </c>
      <c r="D235" s="125"/>
      <c r="E235" s="127" t="str">
        <f>IF($B234="","",IF($B234+1&gt;'Qredits maandlasten'!$C$4,"",F234+1))</f>
        <v/>
      </c>
      <c r="F235" s="127" t="str">
        <f>IF($B234="","",IF($B234+1&gt;'Qredits maandlasten'!$C$4,"",EOMONTH(E235,0)))</f>
        <v/>
      </c>
      <c r="G235" s="128" t="str">
        <f>IF($B234="","",IF($B234+1&gt;'Qredits maandlasten'!$C$4,"",(_xlfn.DAYS(F235,E235)+1)/DAY(F235)))</f>
        <v/>
      </c>
      <c r="H235" s="129"/>
      <c r="I235" s="130" t="str">
        <f>IF($B234="","",IF($B234+1&gt;'Qredits maandlasten'!$C$4,"",I234-J234))</f>
        <v/>
      </c>
      <c r="J235" s="130" t="str">
        <f>IF($B234="","",IF($B234+1&gt;'Qredits maandlasten'!$C$4,"",IF(B234&lt;'Qredits maandlasten'!$C$11-1,0,IF('Qredits maandlasten'!$C$10=dropdowns!$A$93,'Qredits maandlasten'!$J$3,IF('Qredits maandlasten'!$C$10=dropdowns!$A$92,IFERROR('Qredits maandlasten'!$J$3-K235,0),0)))))</f>
        <v/>
      </c>
      <c r="K235" s="130" t="str">
        <f>IF($B234="","",IF($B234+1&gt;'Qredits maandlasten'!$C$4,"",G235*I235*'Qredits maandlasten'!$C$8))</f>
        <v/>
      </c>
      <c r="L235" s="130" t="str">
        <f t="shared" si="17"/>
        <v/>
      </c>
      <c r="M235" s="130" t="str">
        <f t="shared" si="15"/>
        <v/>
      </c>
      <c r="N235" s="129"/>
      <c r="O235" s="131" t="str">
        <f>IF($B235="","",'Qredits maandlasten'!$C$8)</f>
        <v/>
      </c>
      <c r="P235" s="131" t="str">
        <f>IF($B235="","",'Qredits maandlasten'!$C$8*(POWER(1+'Qredits maandlasten'!$C$8,$B235-1+1)))</f>
        <v/>
      </c>
      <c r="Q235" s="131" t="str">
        <f t="shared" si="18"/>
        <v/>
      </c>
      <c r="R235" s="129"/>
      <c r="S235" s="130" t="str">
        <f t="shared" si="16"/>
        <v/>
      </c>
      <c r="T235" s="130" t="str">
        <f>IF(S235="","",J235/(POWER(1+'Qredits maandlasten'!$C$8,$B235-1+1)))</f>
        <v/>
      </c>
      <c r="U235" s="132" t="str">
        <f t="shared" si="19"/>
        <v/>
      </c>
      <c r="V235" s="130" t="str">
        <f>IF($B235="","",K235/(POWER(1+'Qredits maandlasten'!$C$8,$B235-1+1)))</f>
        <v/>
      </c>
      <c r="W235" s="129"/>
    </row>
    <row r="236" spans="1:23" s="134" customFormat="1" x14ac:dyDescent="0.2">
      <c r="A236" s="125"/>
      <c r="B236" s="126" t="str">
        <f>IF($B235="","",IF($B235+1&gt;'Qredits maandlasten'!$C$4,"",Schema!B235+1))</f>
        <v/>
      </c>
      <c r="C236" s="127" t="str">
        <f>IF($B235="","",IF($B235+1&gt;'Qredits maandlasten'!$C$4,"",EOMONTH(C235,0)+1))</f>
        <v/>
      </c>
      <c r="D236" s="125"/>
      <c r="E236" s="127" t="str">
        <f>IF($B235="","",IF($B235+1&gt;'Qredits maandlasten'!$C$4,"",F235+1))</f>
        <v/>
      </c>
      <c r="F236" s="127" t="str">
        <f>IF($B235="","",IF($B235+1&gt;'Qredits maandlasten'!$C$4,"",EOMONTH(E236,0)))</f>
        <v/>
      </c>
      <c r="G236" s="128" t="str">
        <f>IF($B235="","",IF($B235+1&gt;'Qredits maandlasten'!$C$4,"",(_xlfn.DAYS(F236,E236)+1)/DAY(F236)))</f>
        <v/>
      </c>
      <c r="H236" s="129"/>
      <c r="I236" s="130" t="str">
        <f>IF($B235="","",IF($B235+1&gt;'Qredits maandlasten'!$C$4,"",I235-J235))</f>
        <v/>
      </c>
      <c r="J236" s="130" t="str">
        <f>IF($B235="","",IF($B235+1&gt;'Qredits maandlasten'!$C$4,"",IF(B235&lt;'Qredits maandlasten'!$C$11-1,0,IF('Qredits maandlasten'!$C$10=dropdowns!$A$93,'Qredits maandlasten'!$J$3,IF('Qredits maandlasten'!$C$10=dropdowns!$A$92,IFERROR('Qredits maandlasten'!$J$3-K236,0),0)))))</f>
        <v/>
      </c>
      <c r="K236" s="130" t="str">
        <f>IF($B235="","",IF($B235+1&gt;'Qredits maandlasten'!$C$4,"",G236*I236*'Qredits maandlasten'!$C$8))</f>
        <v/>
      </c>
      <c r="L236" s="130" t="str">
        <f t="shared" si="17"/>
        <v/>
      </c>
      <c r="M236" s="130" t="str">
        <f t="shared" si="15"/>
        <v/>
      </c>
      <c r="N236" s="129"/>
      <c r="O236" s="131" t="str">
        <f>IF($B236="","",'Qredits maandlasten'!$C$8)</f>
        <v/>
      </c>
      <c r="P236" s="131" t="str">
        <f>IF($B236="","",'Qredits maandlasten'!$C$8*(POWER(1+'Qredits maandlasten'!$C$8,$B236-1+1)))</f>
        <v/>
      </c>
      <c r="Q236" s="131" t="str">
        <f t="shared" si="18"/>
        <v/>
      </c>
      <c r="R236" s="129"/>
      <c r="S236" s="130" t="str">
        <f t="shared" si="16"/>
        <v/>
      </c>
      <c r="T236" s="130" t="str">
        <f>IF(S236="","",J236/(POWER(1+'Qredits maandlasten'!$C$8,$B236-1+1)))</f>
        <v/>
      </c>
      <c r="U236" s="132" t="str">
        <f t="shared" si="19"/>
        <v/>
      </c>
      <c r="V236" s="130" t="str">
        <f>IF($B236="","",K236/(POWER(1+'Qredits maandlasten'!$C$8,$B236-1+1)))</f>
        <v/>
      </c>
      <c r="W236" s="129"/>
    </row>
    <row r="237" spans="1:23" s="134" customFormat="1" x14ac:dyDescent="0.2">
      <c r="A237" s="125"/>
      <c r="B237" s="126" t="str">
        <f>IF($B236="","",IF($B236+1&gt;'Qredits maandlasten'!$C$4,"",Schema!B236+1))</f>
        <v/>
      </c>
      <c r="C237" s="127" t="str">
        <f>IF($B236="","",IF($B236+1&gt;'Qredits maandlasten'!$C$4,"",EOMONTH(C236,0)+1))</f>
        <v/>
      </c>
      <c r="D237" s="125"/>
      <c r="E237" s="127" t="str">
        <f>IF($B236="","",IF($B236+1&gt;'Qredits maandlasten'!$C$4,"",F236+1))</f>
        <v/>
      </c>
      <c r="F237" s="127" t="str">
        <f>IF($B236="","",IF($B236+1&gt;'Qredits maandlasten'!$C$4,"",EOMONTH(E237,0)))</f>
        <v/>
      </c>
      <c r="G237" s="128" t="str">
        <f>IF($B236="","",IF($B236+1&gt;'Qredits maandlasten'!$C$4,"",(_xlfn.DAYS(F237,E237)+1)/DAY(F237)))</f>
        <v/>
      </c>
      <c r="H237" s="129"/>
      <c r="I237" s="130" t="str">
        <f>IF($B236="","",IF($B236+1&gt;'Qredits maandlasten'!$C$4,"",I236-J236))</f>
        <v/>
      </c>
      <c r="J237" s="130" t="str">
        <f>IF($B236="","",IF($B236+1&gt;'Qredits maandlasten'!$C$4,"",IF(B236&lt;'Qredits maandlasten'!$C$11-1,0,IF('Qredits maandlasten'!$C$10=dropdowns!$A$93,'Qredits maandlasten'!$J$3,IF('Qredits maandlasten'!$C$10=dropdowns!$A$92,IFERROR('Qredits maandlasten'!$J$3-K237,0),0)))))</f>
        <v/>
      </c>
      <c r="K237" s="130" t="str">
        <f>IF($B236="","",IF($B236+1&gt;'Qredits maandlasten'!$C$4,"",G237*I237*'Qredits maandlasten'!$C$8))</f>
        <v/>
      </c>
      <c r="L237" s="130" t="str">
        <f t="shared" si="17"/>
        <v/>
      </c>
      <c r="M237" s="130" t="str">
        <f t="shared" si="15"/>
        <v/>
      </c>
      <c r="N237" s="129"/>
      <c r="O237" s="131" t="str">
        <f>IF($B237="","",'Qredits maandlasten'!$C$8)</f>
        <v/>
      </c>
      <c r="P237" s="131" t="str">
        <f>IF($B237="","",'Qredits maandlasten'!$C$8*(POWER(1+'Qredits maandlasten'!$C$8,$B237-1+1)))</f>
        <v/>
      </c>
      <c r="Q237" s="131" t="str">
        <f t="shared" si="18"/>
        <v/>
      </c>
      <c r="R237" s="129"/>
      <c r="S237" s="130" t="str">
        <f t="shared" si="16"/>
        <v/>
      </c>
      <c r="T237" s="130" t="str">
        <f>IF(S237="","",J237/(POWER(1+'Qredits maandlasten'!$C$8,$B237-1+1)))</f>
        <v/>
      </c>
      <c r="U237" s="132" t="str">
        <f t="shared" si="19"/>
        <v/>
      </c>
      <c r="V237" s="130" t="str">
        <f>IF($B237="","",K237/(POWER(1+'Qredits maandlasten'!$C$8,$B237-1+1)))</f>
        <v/>
      </c>
      <c r="W237" s="129"/>
    </row>
    <row r="238" spans="1:23" s="134" customFormat="1" x14ac:dyDescent="0.2">
      <c r="A238" s="125"/>
      <c r="B238" s="126" t="str">
        <f>IF($B237="","",IF($B237+1&gt;'Qredits maandlasten'!$C$4,"",Schema!B237+1))</f>
        <v/>
      </c>
      <c r="C238" s="127" t="str">
        <f>IF($B237="","",IF($B237+1&gt;'Qredits maandlasten'!$C$4,"",EOMONTH(C237,0)+1))</f>
        <v/>
      </c>
      <c r="D238" s="125"/>
      <c r="E238" s="127" t="str">
        <f>IF($B237="","",IF($B237+1&gt;'Qredits maandlasten'!$C$4,"",F237+1))</f>
        <v/>
      </c>
      <c r="F238" s="127" t="str">
        <f>IF($B237="","",IF($B237+1&gt;'Qredits maandlasten'!$C$4,"",EOMONTH(E238,0)))</f>
        <v/>
      </c>
      <c r="G238" s="128" t="str">
        <f>IF($B237="","",IF($B237+1&gt;'Qredits maandlasten'!$C$4,"",(_xlfn.DAYS(F238,E238)+1)/DAY(F238)))</f>
        <v/>
      </c>
      <c r="H238" s="129"/>
      <c r="I238" s="130" t="str">
        <f>IF($B237="","",IF($B237+1&gt;'Qredits maandlasten'!$C$4,"",I237-J237))</f>
        <v/>
      </c>
      <c r="J238" s="130" t="str">
        <f>IF($B237="","",IF($B237+1&gt;'Qredits maandlasten'!$C$4,"",IF(B237&lt;'Qredits maandlasten'!$C$11-1,0,IF('Qredits maandlasten'!$C$10=dropdowns!$A$93,'Qredits maandlasten'!$J$3,IF('Qredits maandlasten'!$C$10=dropdowns!$A$92,IFERROR('Qredits maandlasten'!$J$3-K238,0),0)))))</f>
        <v/>
      </c>
      <c r="K238" s="130" t="str">
        <f>IF($B237="","",IF($B237+1&gt;'Qredits maandlasten'!$C$4,"",G238*I238*'Qredits maandlasten'!$C$8))</f>
        <v/>
      </c>
      <c r="L238" s="130" t="str">
        <f t="shared" si="17"/>
        <v/>
      </c>
      <c r="M238" s="130" t="str">
        <f t="shared" si="15"/>
        <v/>
      </c>
      <c r="N238" s="129"/>
      <c r="O238" s="131" t="str">
        <f>IF($B238="","",'Qredits maandlasten'!$C$8)</f>
        <v/>
      </c>
      <c r="P238" s="131" t="str">
        <f>IF($B238="","",'Qredits maandlasten'!$C$8*(POWER(1+'Qredits maandlasten'!$C$8,$B238-1+1)))</f>
        <v/>
      </c>
      <c r="Q238" s="131" t="str">
        <f t="shared" si="18"/>
        <v/>
      </c>
      <c r="R238" s="129"/>
      <c r="S238" s="130" t="str">
        <f t="shared" si="16"/>
        <v/>
      </c>
      <c r="T238" s="130" t="str">
        <f>IF(S238="","",J238/(POWER(1+'Qredits maandlasten'!$C$8,$B238-1+1)))</f>
        <v/>
      </c>
      <c r="U238" s="132" t="str">
        <f t="shared" si="19"/>
        <v/>
      </c>
      <c r="V238" s="130" t="str">
        <f>IF($B238="","",K238/(POWER(1+'Qredits maandlasten'!$C$8,$B238-1+1)))</f>
        <v/>
      </c>
      <c r="W238" s="129"/>
    </row>
    <row r="239" spans="1:23" s="134" customFormat="1" x14ac:dyDescent="0.2">
      <c r="A239" s="125"/>
      <c r="B239" s="126" t="str">
        <f>IF($B238="","",IF($B238+1&gt;'Qredits maandlasten'!$C$4,"",Schema!B238+1))</f>
        <v/>
      </c>
      <c r="C239" s="127" t="str">
        <f>IF($B238="","",IF($B238+1&gt;'Qredits maandlasten'!$C$4,"",EOMONTH(C238,0)+1))</f>
        <v/>
      </c>
      <c r="D239" s="125"/>
      <c r="E239" s="127" t="str">
        <f>IF($B238="","",IF($B238+1&gt;'Qredits maandlasten'!$C$4,"",F238+1))</f>
        <v/>
      </c>
      <c r="F239" s="127" t="str">
        <f>IF($B238="","",IF($B238+1&gt;'Qredits maandlasten'!$C$4,"",EOMONTH(E239,0)))</f>
        <v/>
      </c>
      <c r="G239" s="128" t="str">
        <f>IF($B238="","",IF($B238+1&gt;'Qredits maandlasten'!$C$4,"",(_xlfn.DAYS(F239,E239)+1)/DAY(F239)))</f>
        <v/>
      </c>
      <c r="H239" s="129"/>
      <c r="I239" s="130" t="str">
        <f>IF($B238="","",IF($B238+1&gt;'Qredits maandlasten'!$C$4,"",I238-J238))</f>
        <v/>
      </c>
      <c r="J239" s="130" t="str">
        <f>IF($B238="","",IF($B238+1&gt;'Qredits maandlasten'!$C$4,"",IF(B238&lt;'Qredits maandlasten'!$C$11-1,0,IF('Qredits maandlasten'!$C$10=dropdowns!$A$93,'Qredits maandlasten'!$J$3,IF('Qredits maandlasten'!$C$10=dropdowns!$A$92,IFERROR('Qredits maandlasten'!$J$3-K239,0),0)))))</f>
        <v/>
      </c>
      <c r="K239" s="130" t="str">
        <f>IF($B238="","",IF($B238+1&gt;'Qredits maandlasten'!$C$4,"",G239*I239*'Qredits maandlasten'!$C$8))</f>
        <v/>
      </c>
      <c r="L239" s="130" t="str">
        <f t="shared" si="17"/>
        <v/>
      </c>
      <c r="M239" s="130" t="str">
        <f t="shared" si="15"/>
        <v/>
      </c>
      <c r="N239" s="129"/>
      <c r="O239" s="131" t="str">
        <f>IF($B239="","",'Qredits maandlasten'!$C$8)</f>
        <v/>
      </c>
      <c r="P239" s="131" t="str">
        <f>IF($B239="","",'Qredits maandlasten'!$C$8*(POWER(1+'Qredits maandlasten'!$C$8,$B239-1+1)))</f>
        <v/>
      </c>
      <c r="Q239" s="131" t="str">
        <f t="shared" si="18"/>
        <v/>
      </c>
      <c r="R239" s="129"/>
      <c r="S239" s="130" t="str">
        <f t="shared" si="16"/>
        <v/>
      </c>
      <c r="T239" s="130" t="str">
        <f>IF(S239="","",J239/(POWER(1+'Qredits maandlasten'!$C$8,$B239-1+1)))</f>
        <v/>
      </c>
      <c r="U239" s="132" t="str">
        <f t="shared" si="19"/>
        <v/>
      </c>
      <c r="V239" s="130" t="str">
        <f>IF($B239="","",K239/(POWER(1+'Qredits maandlasten'!$C$8,$B239-1+1)))</f>
        <v/>
      </c>
      <c r="W239" s="129"/>
    </row>
    <row r="240" spans="1:23" s="134" customFormat="1" x14ac:dyDescent="0.2">
      <c r="A240" s="125"/>
      <c r="B240" s="126" t="str">
        <f>IF($B239="","",IF($B239+1&gt;'Qredits maandlasten'!$C$4,"",Schema!B239+1))</f>
        <v/>
      </c>
      <c r="C240" s="127" t="str">
        <f>IF($B239="","",IF($B239+1&gt;'Qredits maandlasten'!$C$4,"",EOMONTH(C239,0)+1))</f>
        <v/>
      </c>
      <c r="D240" s="125"/>
      <c r="E240" s="127" t="str">
        <f>IF($B239="","",IF($B239+1&gt;'Qredits maandlasten'!$C$4,"",F239+1))</f>
        <v/>
      </c>
      <c r="F240" s="127" t="str">
        <f>IF($B239="","",IF($B239+1&gt;'Qredits maandlasten'!$C$4,"",EOMONTH(E240,0)))</f>
        <v/>
      </c>
      <c r="G240" s="128" t="str">
        <f>IF($B239="","",IF($B239+1&gt;'Qredits maandlasten'!$C$4,"",(_xlfn.DAYS(F240,E240)+1)/DAY(F240)))</f>
        <v/>
      </c>
      <c r="H240" s="129"/>
      <c r="I240" s="130" t="str">
        <f>IF($B239="","",IF($B239+1&gt;'Qredits maandlasten'!$C$4,"",I239-J239))</f>
        <v/>
      </c>
      <c r="J240" s="130" t="str">
        <f>IF($B239="","",IF($B239+1&gt;'Qredits maandlasten'!$C$4,"",IF(B239&lt;'Qredits maandlasten'!$C$11-1,0,IF('Qredits maandlasten'!$C$10=dropdowns!$A$93,'Qredits maandlasten'!$J$3,IF('Qredits maandlasten'!$C$10=dropdowns!$A$92,IFERROR('Qredits maandlasten'!$J$3-K240,0),0)))))</f>
        <v/>
      </c>
      <c r="K240" s="130" t="str">
        <f>IF($B239="","",IF($B239+1&gt;'Qredits maandlasten'!$C$4,"",G240*I240*'Qredits maandlasten'!$C$8))</f>
        <v/>
      </c>
      <c r="L240" s="130" t="str">
        <f t="shared" si="17"/>
        <v/>
      </c>
      <c r="M240" s="130" t="str">
        <f t="shared" si="15"/>
        <v/>
      </c>
      <c r="N240" s="129"/>
      <c r="O240" s="131" t="str">
        <f>IF($B240="","",'Qredits maandlasten'!$C$8)</f>
        <v/>
      </c>
      <c r="P240" s="131" t="str">
        <f>IF($B240="","",'Qredits maandlasten'!$C$8*(POWER(1+'Qredits maandlasten'!$C$8,$B240-1+1)))</f>
        <v/>
      </c>
      <c r="Q240" s="131" t="str">
        <f t="shared" si="18"/>
        <v/>
      </c>
      <c r="R240" s="129"/>
      <c r="S240" s="130" t="str">
        <f t="shared" si="16"/>
        <v/>
      </c>
      <c r="T240" s="130" t="str">
        <f>IF(S240="","",J240/(POWER(1+'Qredits maandlasten'!$C$8,$B240-1+1)))</f>
        <v/>
      </c>
      <c r="U240" s="132" t="str">
        <f t="shared" si="19"/>
        <v/>
      </c>
      <c r="V240" s="130" t="str">
        <f>IF($B240="","",K240/(POWER(1+'Qredits maandlasten'!$C$8,$B240-1+1)))</f>
        <v/>
      </c>
      <c r="W240" s="129"/>
    </row>
    <row r="241" spans="1:23" s="134" customFormat="1" x14ac:dyDescent="0.2">
      <c r="A241" s="125"/>
      <c r="B241" s="126" t="str">
        <f>IF($B240="","",IF($B240+1&gt;'Qredits maandlasten'!$C$4,"",Schema!B240+1))</f>
        <v/>
      </c>
      <c r="C241" s="127" t="str">
        <f>IF($B240="","",IF($B240+1&gt;'Qredits maandlasten'!$C$4,"",EOMONTH(C240,0)+1))</f>
        <v/>
      </c>
      <c r="D241" s="125"/>
      <c r="E241" s="127" t="str">
        <f>IF($B240="","",IF($B240+1&gt;'Qredits maandlasten'!$C$4,"",F240+1))</f>
        <v/>
      </c>
      <c r="F241" s="127" t="str">
        <f>IF($B240="","",IF($B240+1&gt;'Qredits maandlasten'!$C$4,"",EOMONTH(E241,0)))</f>
        <v/>
      </c>
      <c r="G241" s="128" t="str">
        <f>IF($B240="","",IF($B240+1&gt;'Qredits maandlasten'!$C$4,"",(_xlfn.DAYS(F241,E241)+1)/DAY(F241)))</f>
        <v/>
      </c>
      <c r="H241" s="129"/>
      <c r="I241" s="130" t="str">
        <f>IF($B240="","",IF($B240+1&gt;'Qredits maandlasten'!$C$4,"",I240-J240))</f>
        <v/>
      </c>
      <c r="J241" s="130" t="str">
        <f>IF($B240="","",IF($B240+1&gt;'Qredits maandlasten'!$C$4,"",IF(B240&lt;'Qredits maandlasten'!$C$11-1,0,IF('Qredits maandlasten'!$C$10=dropdowns!$A$93,'Qredits maandlasten'!$J$3,IF('Qredits maandlasten'!$C$10=dropdowns!$A$92,IFERROR('Qredits maandlasten'!$J$3-K241,0),0)))))</f>
        <v/>
      </c>
      <c r="K241" s="130" t="str">
        <f>IF($B240="","",IF($B240+1&gt;'Qredits maandlasten'!$C$4,"",G241*I241*'Qredits maandlasten'!$C$8))</f>
        <v/>
      </c>
      <c r="L241" s="130" t="str">
        <f t="shared" si="17"/>
        <v/>
      </c>
      <c r="M241" s="130" t="str">
        <f t="shared" si="15"/>
        <v/>
      </c>
      <c r="N241" s="129"/>
      <c r="O241" s="131" t="str">
        <f>IF($B241="","",'Qredits maandlasten'!$C$8)</f>
        <v/>
      </c>
      <c r="P241" s="131" t="str">
        <f>IF($B241="","",'Qredits maandlasten'!$C$8*(POWER(1+'Qredits maandlasten'!$C$8,$B241-1+1)))</f>
        <v/>
      </c>
      <c r="Q241" s="131" t="str">
        <f t="shared" si="18"/>
        <v/>
      </c>
      <c r="R241" s="129"/>
      <c r="S241" s="130" t="str">
        <f t="shared" si="16"/>
        <v/>
      </c>
      <c r="T241" s="130" t="str">
        <f>IF(S241="","",J241/(POWER(1+'Qredits maandlasten'!$C$8,$B241-1+1)))</f>
        <v/>
      </c>
      <c r="U241" s="132" t="str">
        <f t="shared" si="19"/>
        <v/>
      </c>
      <c r="V241" s="130" t="str">
        <f>IF($B241="","",K241/(POWER(1+'Qredits maandlasten'!$C$8,$B241-1+1)))</f>
        <v/>
      </c>
      <c r="W241" s="129"/>
    </row>
    <row r="242" spans="1:23" s="134" customFormat="1" x14ac:dyDescent="0.2">
      <c r="A242" s="125"/>
      <c r="B242" s="126" t="str">
        <f>IF($B241="","",IF($B241+1&gt;'Qredits maandlasten'!$C$4,"",Schema!B241+1))</f>
        <v/>
      </c>
      <c r="C242" s="127" t="str">
        <f>IF($B241="","",IF($B241+1&gt;'Qredits maandlasten'!$C$4,"",EOMONTH(C241,0)+1))</f>
        <v/>
      </c>
      <c r="D242" s="125"/>
      <c r="E242" s="127" t="str">
        <f>IF($B241="","",IF($B241+1&gt;'Qredits maandlasten'!$C$4,"",F241+1))</f>
        <v/>
      </c>
      <c r="F242" s="127" t="str">
        <f>IF($B241="","",IF($B241+1&gt;'Qredits maandlasten'!$C$4,"",EOMONTH(E242,0)))</f>
        <v/>
      </c>
      <c r="G242" s="128" t="str">
        <f>IF($B241="","",IF($B241+1&gt;'Qredits maandlasten'!$C$4,"",(_xlfn.DAYS(F242,E242)+1)/DAY(F242)))</f>
        <v/>
      </c>
      <c r="H242" s="129"/>
      <c r="I242" s="130" t="str">
        <f>IF($B241="","",IF($B241+1&gt;'Qredits maandlasten'!$C$4,"",I241-J241))</f>
        <v/>
      </c>
      <c r="J242" s="130" t="str">
        <f>IF($B241="","",IF($B241+1&gt;'Qredits maandlasten'!$C$4,"",IF(B241&lt;'Qredits maandlasten'!$C$11-1,0,IF('Qredits maandlasten'!$C$10=dropdowns!$A$93,'Qredits maandlasten'!$J$3,IF('Qredits maandlasten'!$C$10=dropdowns!$A$92,IFERROR('Qredits maandlasten'!$J$3-K242,0),0)))))</f>
        <v/>
      </c>
      <c r="K242" s="130" t="str">
        <f>IF($B241="","",IF($B241+1&gt;'Qredits maandlasten'!$C$4,"",G242*I242*'Qredits maandlasten'!$C$8))</f>
        <v/>
      </c>
      <c r="L242" s="130" t="str">
        <f t="shared" si="17"/>
        <v/>
      </c>
      <c r="M242" s="130" t="str">
        <f t="shared" si="15"/>
        <v/>
      </c>
      <c r="N242" s="129"/>
      <c r="O242" s="131" t="str">
        <f>IF($B242="","",'Qredits maandlasten'!$C$8)</f>
        <v/>
      </c>
      <c r="P242" s="131" t="str">
        <f>IF($B242="","",'Qredits maandlasten'!$C$8*(POWER(1+'Qredits maandlasten'!$C$8,$B242-1+1)))</f>
        <v/>
      </c>
      <c r="Q242" s="131" t="str">
        <f t="shared" si="18"/>
        <v/>
      </c>
      <c r="R242" s="129"/>
      <c r="S242" s="130" t="str">
        <f t="shared" si="16"/>
        <v/>
      </c>
      <c r="T242" s="130" t="str">
        <f>IF(S242="","",J242/(POWER(1+'Qredits maandlasten'!$C$8,$B242-1+1)))</f>
        <v/>
      </c>
      <c r="U242" s="132" t="str">
        <f t="shared" si="19"/>
        <v/>
      </c>
      <c r="V242" s="130" t="str">
        <f>IF($B242="","",K242/(POWER(1+'Qredits maandlasten'!$C$8,$B242-1+1)))</f>
        <v/>
      </c>
      <c r="W242" s="129"/>
    </row>
    <row r="243" spans="1:23" s="134" customFormat="1" x14ac:dyDescent="0.2">
      <c r="A243" s="125"/>
      <c r="B243" s="126" t="str">
        <f>IF($B242="","",IF($B242+1&gt;'Qredits maandlasten'!$C$4,"",Schema!B242+1))</f>
        <v/>
      </c>
      <c r="C243" s="127" t="str">
        <f>IF($B242="","",IF($B242+1&gt;'Qredits maandlasten'!$C$4,"",EOMONTH(C242,0)+1))</f>
        <v/>
      </c>
      <c r="D243" s="125"/>
      <c r="E243" s="127" t="str">
        <f>IF($B242="","",IF($B242+1&gt;'Qredits maandlasten'!$C$4,"",F242+1))</f>
        <v/>
      </c>
      <c r="F243" s="127" t="str">
        <f>IF($B242="","",IF($B242+1&gt;'Qredits maandlasten'!$C$4,"",EOMONTH(E243,0)))</f>
        <v/>
      </c>
      <c r="G243" s="128" t="str">
        <f>IF($B242="","",IF($B242+1&gt;'Qredits maandlasten'!$C$4,"",(_xlfn.DAYS(F243,E243)+1)/DAY(F243)))</f>
        <v/>
      </c>
      <c r="H243" s="129"/>
      <c r="I243" s="130" t="str">
        <f>IF($B242="","",IF($B242+1&gt;'Qredits maandlasten'!$C$4,"",I242-J242))</f>
        <v/>
      </c>
      <c r="J243" s="130" t="str">
        <f>IF($B242="","",IF($B242+1&gt;'Qredits maandlasten'!$C$4,"",IF(B242&lt;'Qredits maandlasten'!$C$11-1,0,IF('Qredits maandlasten'!$C$10=dropdowns!$A$93,'Qredits maandlasten'!$J$3,IF('Qredits maandlasten'!$C$10=dropdowns!$A$92,IFERROR('Qredits maandlasten'!$J$3-K243,0),0)))))</f>
        <v/>
      </c>
      <c r="K243" s="130" t="str">
        <f>IF($B242="","",IF($B242+1&gt;'Qredits maandlasten'!$C$4,"",G243*I243*'Qredits maandlasten'!$C$8))</f>
        <v/>
      </c>
      <c r="L243" s="130" t="str">
        <f t="shared" si="17"/>
        <v/>
      </c>
      <c r="M243" s="130" t="str">
        <f t="shared" si="15"/>
        <v/>
      </c>
      <c r="N243" s="129"/>
      <c r="O243" s="131" t="str">
        <f>IF($B243="","",'Qredits maandlasten'!$C$8)</f>
        <v/>
      </c>
      <c r="P243" s="131" t="str">
        <f>IF($B243="","",'Qredits maandlasten'!$C$8*(POWER(1+'Qredits maandlasten'!$C$8,$B243-1+1)))</f>
        <v/>
      </c>
      <c r="Q243" s="131" t="str">
        <f t="shared" si="18"/>
        <v/>
      </c>
      <c r="R243" s="129"/>
      <c r="S243" s="130" t="str">
        <f t="shared" si="16"/>
        <v/>
      </c>
      <c r="T243" s="130" t="str">
        <f>IF(S243="","",J243/(POWER(1+'Qredits maandlasten'!$C$8,$B243-1+1)))</f>
        <v/>
      </c>
      <c r="U243" s="132" t="str">
        <f t="shared" si="19"/>
        <v/>
      </c>
      <c r="V243" s="130" t="str">
        <f>IF($B243="","",K243/(POWER(1+'Qredits maandlasten'!$C$8,$B243-1+1)))</f>
        <v/>
      </c>
      <c r="W243" s="129"/>
    </row>
    <row r="244" spans="1:23" s="134" customFormat="1" x14ac:dyDescent="0.2">
      <c r="A244" s="125"/>
      <c r="B244" s="126" t="str">
        <f>IF($B243="","",IF($B243+1&gt;'Qredits maandlasten'!$C$4,"",Schema!B243+1))</f>
        <v/>
      </c>
      <c r="C244" s="127" t="str">
        <f>IF($B243="","",IF($B243+1&gt;'Qredits maandlasten'!$C$4,"",EOMONTH(C243,0)+1))</f>
        <v/>
      </c>
      <c r="D244" s="125"/>
      <c r="E244" s="127" t="str">
        <f>IF($B243="","",IF($B243+1&gt;'Qredits maandlasten'!$C$4,"",F243+1))</f>
        <v/>
      </c>
      <c r="F244" s="127" t="str">
        <f>IF($B243="","",IF($B243+1&gt;'Qredits maandlasten'!$C$4,"",EOMONTH(E244,0)))</f>
        <v/>
      </c>
      <c r="G244" s="128" t="str">
        <f>IF($B243="","",IF($B243+1&gt;'Qredits maandlasten'!$C$4,"",(_xlfn.DAYS(F244,E244)+1)/DAY(F244)))</f>
        <v/>
      </c>
      <c r="H244" s="129"/>
      <c r="I244" s="130" t="str">
        <f>IF($B243="","",IF($B243+1&gt;'Qredits maandlasten'!$C$4,"",I243-J243))</f>
        <v/>
      </c>
      <c r="J244" s="130" t="str">
        <f>IF($B243="","",IF($B243+1&gt;'Qredits maandlasten'!$C$4,"",IF(B243&lt;'Qredits maandlasten'!$C$11-1,0,IF('Qredits maandlasten'!$C$10=dropdowns!$A$93,'Qredits maandlasten'!$J$3,IF('Qredits maandlasten'!$C$10=dropdowns!$A$92,IFERROR('Qredits maandlasten'!$J$3-K244,0),0)))))</f>
        <v/>
      </c>
      <c r="K244" s="130" t="str">
        <f>IF($B243="","",IF($B243+1&gt;'Qredits maandlasten'!$C$4,"",G244*I244*'Qredits maandlasten'!$C$8))</f>
        <v/>
      </c>
      <c r="L244" s="130" t="str">
        <f t="shared" si="17"/>
        <v/>
      </c>
      <c r="M244" s="130" t="str">
        <f t="shared" si="15"/>
        <v/>
      </c>
      <c r="N244" s="129"/>
      <c r="O244" s="131" t="str">
        <f>IF($B244="","",'Qredits maandlasten'!$C$8)</f>
        <v/>
      </c>
      <c r="P244" s="131" t="str">
        <f>IF($B244="","",'Qredits maandlasten'!$C$8*(POWER(1+'Qredits maandlasten'!$C$8,$B244-1+1)))</f>
        <v/>
      </c>
      <c r="Q244" s="131" t="str">
        <f t="shared" si="18"/>
        <v/>
      </c>
      <c r="R244" s="129"/>
      <c r="S244" s="130" t="str">
        <f t="shared" si="16"/>
        <v/>
      </c>
      <c r="T244" s="130" t="str">
        <f>IF(S244="","",J244/(POWER(1+'Qredits maandlasten'!$C$8,$B244-1+1)))</f>
        <v/>
      </c>
      <c r="U244" s="132" t="str">
        <f t="shared" si="19"/>
        <v/>
      </c>
      <c r="V244" s="130" t="str">
        <f>IF($B244="","",K244/(POWER(1+'Qredits maandlasten'!$C$8,$B244-1+1)))</f>
        <v/>
      </c>
      <c r="W244" s="129"/>
    </row>
    <row r="245" spans="1:23" s="134" customFormat="1" x14ac:dyDescent="0.2">
      <c r="A245" s="125"/>
      <c r="B245" s="126" t="str">
        <f>IF($B244="","",IF($B244+1&gt;'Qredits maandlasten'!$C$4,"",Schema!B244+1))</f>
        <v/>
      </c>
      <c r="C245" s="127" t="str">
        <f>IF($B244="","",IF($B244+1&gt;'Qredits maandlasten'!$C$4,"",EOMONTH(C244,0)+1))</f>
        <v/>
      </c>
      <c r="D245" s="125"/>
      <c r="E245" s="127" t="str">
        <f>IF($B244="","",IF($B244+1&gt;'Qredits maandlasten'!$C$4,"",F244+1))</f>
        <v/>
      </c>
      <c r="F245" s="127" t="str">
        <f>IF($B244="","",IF($B244+1&gt;'Qredits maandlasten'!$C$4,"",EOMONTH(E245,0)))</f>
        <v/>
      </c>
      <c r="G245" s="128" t="str">
        <f>IF($B244="","",IF($B244+1&gt;'Qredits maandlasten'!$C$4,"",(_xlfn.DAYS(F245,E245)+1)/DAY(F245)))</f>
        <v/>
      </c>
      <c r="H245" s="129"/>
      <c r="I245" s="130" t="str">
        <f>IF($B244="","",IF($B244+1&gt;'Qredits maandlasten'!$C$4,"",I244-J244))</f>
        <v/>
      </c>
      <c r="J245" s="130" t="str">
        <f>IF($B244="","",IF($B244+1&gt;'Qredits maandlasten'!$C$4,"",IF(B244&lt;'Qredits maandlasten'!$C$11-1,0,IF('Qredits maandlasten'!$C$10=dropdowns!$A$93,'Qredits maandlasten'!$J$3,IF('Qredits maandlasten'!$C$10=dropdowns!$A$92,IFERROR('Qredits maandlasten'!$J$3-K245,0),0)))))</f>
        <v/>
      </c>
      <c r="K245" s="130" t="str">
        <f>IF($B244="","",IF($B244+1&gt;'Qredits maandlasten'!$C$4,"",G245*I245*'Qredits maandlasten'!$C$8))</f>
        <v/>
      </c>
      <c r="L245" s="130" t="str">
        <f t="shared" si="17"/>
        <v/>
      </c>
      <c r="M245" s="130" t="str">
        <f t="shared" si="15"/>
        <v/>
      </c>
      <c r="N245" s="129"/>
      <c r="O245" s="131" t="str">
        <f>IF($B245="","",'Qredits maandlasten'!$C$8)</f>
        <v/>
      </c>
      <c r="P245" s="131" t="str">
        <f>IF($B245="","",'Qredits maandlasten'!$C$8*(POWER(1+'Qredits maandlasten'!$C$8,$B245-1+1)))</f>
        <v/>
      </c>
      <c r="Q245" s="131" t="str">
        <f t="shared" si="18"/>
        <v/>
      </c>
      <c r="R245" s="129"/>
      <c r="S245" s="130" t="str">
        <f t="shared" si="16"/>
        <v/>
      </c>
      <c r="T245" s="130" t="str">
        <f>IF(S245="","",J245/(POWER(1+'Qredits maandlasten'!$C$8,$B245-1+1)))</f>
        <v/>
      </c>
      <c r="U245" s="132" t="str">
        <f t="shared" si="19"/>
        <v/>
      </c>
      <c r="V245" s="130" t="str">
        <f>IF($B245="","",K245/(POWER(1+'Qredits maandlasten'!$C$8,$B245-1+1)))</f>
        <v/>
      </c>
      <c r="W245" s="129"/>
    </row>
    <row r="246" spans="1:23" s="134" customFormat="1" x14ac:dyDescent="0.2">
      <c r="A246" s="125"/>
      <c r="B246" s="126" t="str">
        <f>IF($B245="","",IF($B245+1&gt;'Qredits maandlasten'!$C$4,"",Schema!B245+1))</f>
        <v/>
      </c>
      <c r="C246" s="127" t="str">
        <f>IF($B245="","",IF($B245+1&gt;'Qredits maandlasten'!$C$4,"",EOMONTH(C245,0)+1))</f>
        <v/>
      </c>
      <c r="D246" s="125"/>
      <c r="E246" s="127" t="str">
        <f>IF($B245="","",IF($B245+1&gt;'Qredits maandlasten'!$C$4,"",F245+1))</f>
        <v/>
      </c>
      <c r="F246" s="127" t="str">
        <f>IF($B245="","",IF($B245+1&gt;'Qredits maandlasten'!$C$4,"",EOMONTH(E246,0)))</f>
        <v/>
      </c>
      <c r="G246" s="128" t="str">
        <f>IF($B245="","",IF($B245+1&gt;'Qredits maandlasten'!$C$4,"",(_xlfn.DAYS(F246,E246)+1)/DAY(F246)))</f>
        <v/>
      </c>
      <c r="H246" s="129"/>
      <c r="I246" s="130" t="str">
        <f>IF($B245="","",IF($B245+1&gt;'Qredits maandlasten'!$C$4,"",I245-J245))</f>
        <v/>
      </c>
      <c r="J246" s="130" t="str">
        <f>IF($B245="","",IF($B245+1&gt;'Qredits maandlasten'!$C$4,"",IF(B245&lt;'Qredits maandlasten'!$C$11-1,0,IF('Qredits maandlasten'!$C$10=dropdowns!$A$93,'Qredits maandlasten'!$J$3,IF('Qredits maandlasten'!$C$10=dropdowns!$A$92,IFERROR('Qredits maandlasten'!$J$3-K246,0),0)))))</f>
        <v/>
      </c>
      <c r="K246" s="130" t="str">
        <f>IF($B245="","",IF($B245+1&gt;'Qredits maandlasten'!$C$4,"",G246*I246*'Qredits maandlasten'!$C$8))</f>
        <v/>
      </c>
      <c r="L246" s="130" t="str">
        <f t="shared" si="17"/>
        <v/>
      </c>
      <c r="M246" s="130" t="str">
        <f t="shared" si="15"/>
        <v/>
      </c>
      <c r="N246" s="129"/>
      <c r="O246" s="131" t="str">
        <f>IF($B246="","",'Qredits maandlasten'!$C$8)</f>
        <v/>
      </c>
      <c r="P246" s="131" t="str">
        <f>IF($B246="","",'Qredits maandlasten'!$C$8*(POWER(1+'Qredits maandlasten'!$C$8,$B246-1+1)))</f>
        <v/>
      </c>
      <c r="Q246" s="131" t="str">
        <f t="shared" si="18"/>
        <v/>
      </c>
      <c r="R246" s="129"/>
      <c r="S246" s="130" t="str">
        <f t="shared" si="16"/>
        <v/>
      </c>
      <c r="T246" s="130" t="str">
        <f>IF(S246="","",J246/(POWER(1+'Qredits maandlasten'!$C$8,$B246-1+1)))</f>
        <v/>
      </c>
      <c r="U246" s="132" t="str">
        <f t="shared" si="19"/>
        <v/>
      </c>
      <c r="V246" s="130" t="str">
        <f>IF($B246="","",K246/(POWER(1+'Qredits maandlasten'!$C$8,$B246-1+1)))</f>
        <v/>
      </c>
      <c r="W246" s="129"/>
    </row>
    <row r="247" spans="1:23" s="134" customFormat="1" x14ac:dyDescent="0.2">
      <c r="A247" s="125"/>
      <c r="B247" s="126" t="str">
        <f>IF($B246="","",IF($B246+1&gt;'Qredits maandlasten'!$C$4,"",Schema!B246+1))</f>
        <v/>
      </c>
      <c r="C247" s="127" t="str">
        <f>IF($B246="","",IF($B246+1&gt;'Qredits maandlasten'!$C$4,"",EOMONTH(C246,0)+1))</f>
        <v/>
      </c>
      <c r="D247" s="125"/>
      <c r="E247" s="127" t="str">
        <f>IF($B246="","",IF($B246+1&gt;'Qredits maandlasten'!$C$4,"",F246+1))</f>
        <v/>
      </c>
      <c r="F247" s="127" t="str">
        <f>IF($B246="","",IF($B246+1&gt;'Qredits maandlasten'!$C$4,"",EOMONTH(E247,0)))</f>
        <v/>
      </c>
      <c r="G247" s="128" t="str">
        <f>IF($B246="","",IF($B246+1&gt;'Qredits maandlasten'!$C$4,"",(_xlfn.DAYS(F247,E247)+1)/DAY(F247)))</f>
        <v/>
      </c>
      <c r="H247" s="129"/>
      <c r="I247" s="130" t="str">
        <f>IF($B246="","",IF($B246+1&gt;'Qredits maandlasten'!$C$4,"",I246-J246))</f>
        <v/>
      </c>
      <c r="J247" s="130" t="str">
        <f>IF($B246="","",IF($B246+1&gt;'Qredits maandlasten'!$C$4,"",IF(B246&lt;'Qredits maandlasten'!$C$11-1,0,IF('Qredits maandlasten'!$C$10=dropdowns!$A$93,'Qredits maandlasten'!$J$3,IF('Qredits maandlasten'!$C$10=dropdowns!$A$92,IFERROR('Qredits maandlasten'!$J$3-K247,0),0)))))</f>
        <v/>
      </c>
      <c r="K247" s="130" t="str">
        <f>IF($B246="","",IF($B246+1&gt;'Qredits maandlasten'!$C$4,"",G247*I247*'Qredits maandlasten'!$C$8))</f>
        <v/>
      </c>
      <c r="L247" s="130" t="str">
        <f t="shared" si="17"/>
        <v/>
      </c>
      <c r="M247" s="130" t="str">
        <f t="shared" si="15"/>
        <v/>
      </c>
      <c r="N247" s="129"/>
      <c r="O247" s="131" t="str">
        <f>IF($B247="","",'Qredits maandlasten'!$C$8)</f>
        <v/>
      </c>
      <c r="P247" s="131" t="str">
        <f>IF($B247="","",'Qredits maandlasten'!$C$8*(POWER(1+'Qredits maandlasten'!$C$8,$B247-1+1)))</f>
        <v/>
      </c>
      <c r="Q247" s="131" t="str">
        <f t="shared" si="18"/>
        <v/>
      </c>
      <c r="R247" s="129"/>
      <c r="S247" s="130" t="str">
        <f t="shared" si="16"/>
        <v/>
      </c>
      <c r="T247" s="130" t="str">
        <f>IF(S247="","",J247/(POWER(1+'Qredits maandlasten'!$C$8,$B247-1+1)))</f>
        <v/>
      </c>
      <c r="U247" s="132" t="str">
        <f t="shared" si="19"/>
        <v/>
      </c>
      <c r="V247" s="130" t="str">
        <f>IF($B247="","",K247/(POWER(1+'Qredits maandlasten'!$C$8,$B247-1+1)))</f>
        <v/>
      </c>
      <c r="W247" s="129"/>
    </row>
    <row r="248" spans="1:23" s="134" customFormat="1" x14ac:dyDescent="0.2">
      <c r="A248" s="125"/>
      <c r="B248" s="126" t="str">
        <f>IF($B247="","",IF($B247+1&gt;'Qredits maandlasten'!$C$4,"",Schema!B247+1))</f>
        <v/>
      </c>
      <c r="C248" s="127" t="str">
        <f>IF($B247="","",IF($B247+1&gt;'Qredits maandlasten'!$C$4,"",EOMONTH(C247,0)+1))</f>
        <v/>
      </c>
      <c r="D248" s="125"/>
      <c r="E248" s="127" t="str">
        <f>IF($B247="","",IF($B247+1&gt;'Qredits maandlasten'!$C$4,"",F247+1))</f>
        <v/>
      </c>
      <c r="F248" s="127" t="str">
        <f>IF($B247="","",IF($B247+1&gt;'Qredits maandlasten'!$C$4,"",EOMONTH(E248,0)))</f>
        <v/>
      </c>
      <c r="G248" s="128" t="str">
        <f>IF($B247="","",IF($B247+1&gt;'Qredits maandlasten'!$C$4,"",(_xlfn.DAYS(F248,E248)+1)/DAY(F248)))</f>
        <v/>
      </c>
      <c r="H248" s="129"/>
      <c r="I248" s="130" t="str">
        <f>IF($B247="","",IF($B247+1&gt;'Qredits maandlasten'!$C$4,"",I247-J247))</f>
        <v/>
      </c>
      <c r="J248" s="130" t="str">
        <f>IF($B247="","",IF($B247+1&gt;'Qredits maandlasten'!$C$4,"",IF(B247&lt;'Qredits maandlasten'!$C$11-1,0,IF('Qredits maandlasten'!$C$10=dropdowns!$A$93,'Qredits maandlasten'!$J$3,IF('Qredits maandlasten'!$C$10=dropdowns!$A$92,IFERROR('Qredits maandlasten'!$J$3-K248,0),0)))))</f>
        <v/>
      </c>
      <c r="K248" s="130" t="str">
        <f>IF($B247="","",IF($B247+1&gt;'Qredits maandlasten'!$C$4,"",G248*I248*'Qredits maandlasten'!$C$8))</f>
        <v/>
      </c>
      <c r="L248" s="130" t="str">
        <f t="shared" si="17"/>
        <v/>
      </c>
      <c r="M248" s="130" t="str">
        <f t="shared" si="15"/>
        <v/>
      </c>
      <c r="N248" s="129"/>
      <c r="O248" s="131" t="str">
        <f>IF($B248="","",'Qredits maandlasten'!$C$8)</f>
        <v/>
      </c>
      <c r="P248" s="131" t="str">
        <f>IF($B248="","",'Qredits maandlasten'!$C$8*(POWER(1+'Qredits maandlasten'!$C$8,$B248-1+1)))</f>
        <v/>
      </c>
      <c r="Q248" s="131" t="str">
        <f t="shared" si="18"/>
        <v/>
      </c>
      <c r="R248" s="129"/>
      <c r="S248" s="130" t="str">
        <f t="shared" si="16"/>
        <v/>
      </c>
      <c r="T248" s="130" t="str">
        <f>IF(S248="","",J248/(POWER(1+'Qredits maandlasten'!$C$8,$B248-1+1)))</f>
        <v/>
      </c>
      <c r="U248" s="132" t="str">
        <f t="shared" si="19"/>
        <v/>
      </c>
      <c r="V248" s="130" t="str">
        <f>IF($B248="","",K248/(POWER(1+'Qredits maandlasten'!$C$8,$B248-1+1)))</f>
        <v/>
      </c>
      <c r="W248" s="129"/>
    </row>
    <row r="249" spans="1:23" s="134" customFormat="1" x14ac:dyDescent="0.2">
      <c r="A249" s="125"/>
      <c r="B249" s="126" t="str">
        <f>IF($B248="","",IF($B248+1&gt;'Qredits maandlasten'!$C$4,"",Schema!B248+1))</f>
        <v/>
      </c>
      <c r="C249" s="127" t="str">
        <f>IF($B248="","",IF($B248+1&gt;'Qredits maandlasten'!$C$4,"",EOMONTH(C248,0)+1))</f>
        <v/>
      </c>
      <c r="D249" s="125"/>
      <c r="E249" s="127" t="str">
        <f>IF($B248="","",IF($B248+1&gt;'Qredits maandlasten'!$C$4,"",F248+1))</f>
        <v/>
      </c>
      <c r="F249" s="127" t="str">
        <f>IF($B248="","",IF($B248+1&gt;'Qredits maandlasten'!$C$4,"",EOMONTH(E249,0)))</f>
        <v/>
      </c>
      <c r="G249" s="128" t="str">
        <f>IF($B248="","",IF($B248+1&gt;'Qredits maandlasten'!$C$4,"",(_xlfn.DAYS(F249,E249)+1)/DAY(F249)))</f>
        <v/>
      </c>
      <c r="H249" s="129"/>
      <c r="I249" s="130" t="str">
        <f>IF($B248="","",IF($B248+1&gt;'Qredits maandlasten'!$C$4,"",I248-J248))</f>
        <v/>
      </c>
      <c r="J249" s="130" t="str">
        <f>IF($B248="","",IF($B248+1&gt;'Qredits maandlasten'!$C$4,"",IF(B248&lt;'Qredits maandlasten'!$C$11-1,0,IF('Qredits maandlasten'!$C$10=dropdowns!$A$93,'Qredits maandlasten'!$J$3,IF('Qredits maandlasten'!$C$10=dropdowns!$A$92,IFERROR('Qredits maandlasten'!$J$3-K249,0),0)))))</f>
        <v/>
      </c>
      <c r="K249" s="130" t="str">
        <f>IF($B248="","",IF($B248+1&gt;'Qredits maandlasten'!$C$4,"",G249*I249*'Qredits maandlasten'!$C$8))</f>
        <v/>
      </c>
      <c r="L249" s="130" t="str">
        <f t="shared" si="17"/>
        <v/>
      </c>
      <c r="M249" s="130" t="str">
        <f t="shared" si="15"/>
        <v/>
      </c>
      <c r="N249" s="129"/>
      <c r="O249" s="131" t="str">
        <f>IF($B249="","",'Qredits maandlasten'!$C$8)</f>
        <v/>
      </c>
      <c r="P249" s="131" t="str">
        <f>IF($B249="","",'Qredits maandlasten'!$C$8*(POWER(1+'Qredits maandlasten'!$C$8,$B249-1+1)))</f>
        <v/>
      </c>
      <c r="Q249" s="131" t="str">
        <f t="shared" si="18"/>
        <v/>
      </c>
      <c r="R249" s="129"/>
      <c r="S249" s="130" t="str">
        <f t="shared" si="16"/>
        <v/>
      </c>
      <c r="T249" s="130" t="str">
        <f>IF(S249="","",J249/(POWER(1+'Qredits maandlasten'!$C$8,$B249-1+1)))</f>
        <v/>
      </c>
      <c r="U249" s="132" t="str">
        <f t="shared" si="19"/>
        <v/>
      </c>
      <c r="V249" s="130" t="str">
        <f>IF($B249="","",K249/(POWER(1+'Qredits maandlasten'!$C$8,$B249-1+1)))</f>
        <v/>
      </c>
      <c r="W249" s="129"/>
    </row>
    <row r="250" spans="1:23" s="134" customFormat="1" x14ac:dyDescent="0.2">
      <c r="A250" s="125"/>
      <c r="B250" s="126" t="str">
        <f>IF($B249="","",IF($B249+1&gt;'Qredits maandlasten'!$C$4,"",Schema!B249+1))</f>
        <v/>
      </c>
      <c r="C250" s="127" t="str">
        <f>IF($B249="","",IF($B249+1&gt;'Qredits maandlasten'!$C$4,"",EOMONTH(C249,0)+1))</f>
        <v/>
      </c>
      <c r="D250" s="125"/>
      <c r="E250" s="127" t="str">
        <f>IF($B249="","",IF($B249+1&gt;'Qredits maandlasten'!$C$4,"",F249+1))</f>
        <v/>
      </c>
      <c r="F250" s="127" t="str">
        <f>IF($B249="","",IF($B249+1&gt;'Qredits maandlasten'!$C$4,"",EOMONTH(E250,0)))</f>
        <v/>
      </c>
      <c r="G250" s="128" t="str">
        <f>IF($B249="","",IF($B249+1&gt;'Qredits maandlasten'!$C$4,"",(_xlfn.DAYS(F250,E250)+1)/DAY(F250)))</f>
        <v/>
      </c>
      <c r="H250" s="129"/>
      <c r="I250" s="130" t="str">
        <f>IF($B249="","",IF($B249+1&gt;'Qredits maandlasten'!$C$4,"",I249-J249))</f>
        <v/>
      </c>
      <c r="J250" s="130" t="str">
        <f>IF($B249="","",IF($B249+1&gt;'Qredits maandlasten'!$C$4,"",IF(B249&lt;'Qredits maandlasten'!$C$11-1,0,IF('Qredits maandlasten'!$C$10=dropdowns!$A$93,'Qredits maandlasten'!$J$3,IF('Qredits maandlasten'!$C$10=dropdowns!$A$92,IFERROR('Qredits maandlasten'!$J$3-K250,0),0)))))</f>
        <v/>
      </c>
      <c r="K250" s="130" t="str">
        <f>IF($B249="","",IF($B249+1&gt;'Qredits maandlasten'!$C$4,"",G250*I250*'Qredits maandlasten'!$C$8))</f>
        <v/>
      </c>
      <c r="L250" s="130" t="str">
        <f t="shared" si="17"/>
        <v/>
      </c>
      <c r="M250" s="130" t="str">
        <f t="shared" si="15"/>
        <v/>
      </c>
      <c r="N250" s="129"/>
      <c r="O250" s="131" t="str">
        <f>IF($B250="","",'Qredits maandlasten'!$C$8)</f>
        <v/>
      </c>
      <c r="P250" s="131" t="str">
        <f>IF($B250="","",'Qredits maandlasten'!$C$8*(POWER(1+'Qredits maandlasten'!$C$8,$B250-1+1)))</f>
        <v/>
      </c>
      <c r="Q250" s="131" t="str">
        <f t="shared" si="18"/>
        <v/>
      </c>
      <c r="R250" s="129"/>
      <c r="S250" s="130" t="str">
        <f t="shared" si="16"/>
        <v/>
      </c>
      <c r="T250" s="130" t="str">
        <f>IF(S250="","",J250/(POWER(1+'Qredits maandlasten'!$C$8,$B250-1+1)))</f>
        <v/>
      </c>
      <c r="U250" s="132" t="str">
        <f t="shared" si="19"/>
        <v/>
      </c>
      <c r="V250" s="130" t="str">
        <f>IF($B250="","",K250/(POWER(1+'Qredits maandlasten'!$C$8,$B250-1+1)))</f>
        <v/>
      </c>
      <c r="W250" s="129"/>
    </row>
    <row r="251" spans="1:23" s="134" customFormat="1" x14ac:dyDescent="0.2">
      <c r="A251" s="125"/>
      <c r="B251" s="126" t="str">
        <f>IF($B250="","",IF($B250+1&gt;'Qredits maandlasten'!$C$4,"",Schema!B250+1))</f>
        <v/>
      </c>
      <c r="C251" s="127" t="str">
        <f>IF($B250="","",IF($B250+1&gt;'Qredits maandlasten'!$C$4,"",EOMONTH(C250,0)+1))</f>
        <v/>
      </c>
      <c r="D251" s="125"/>
      <c r="E251" s="127" t="str">
        <f>IF($B250="","",IF($B250+1&gt;'Qredits maandlasten'!$C$4,"",F250+1))</f>
        <v/>
      </c>
      <c r="F251" s="127" t="str">
        <f>IF($B250="","",IF($B250+1&gt;'Qredits maandlasten'!$C$4,"",EOMONTH(E251,0)))</f>
        <v/>
      </c>
      <c r="G251" s="128" t="str">
        <f>IF($B250="","",IF($B250+1&gt;'Qredits maandlasten'!$C$4,"",(_xlfn.DAYS(F251,E251)+1)/DAY(F251)))</f>
        <v/>
      </c>
      <c r="H251" s="129"/>
      <c r="I251" s="130" t="str">
        <f>IF($B250="","",IF($B250+1&gt;'Qredits maandlasten'!$C$4,"",I250-J250))</f>
        <v/>
      </c>
      <c r="J251" s="130" t="str">
        <f>IF($B250="","",IF($B250+1&gt;'Qredits maandlasten'!$C$4,"",IF(B250&lt;'Qredits maandlasten'!$C$11-1,0,IF('Qredits maandlasten'!$C$10=dropdowns!$A$93,'Qredits maandlasten'!$J$3,IF('Qredits maandlasten'!$C$10=dropdowns!$A$92,IFERROR('Qredits maandlasten'!$J$3-K251,0),0)))))</f>
        <v/>
      </c>
      <c r="K251" s="130" t="str">
        <f>IF($B250="","",IF($B250+1&gt;'Qredits maandlasten'!$C$4,"",G251*I251*'Qredits maandlasten'!$C$8))</f>
        <v/>
      </c>
      <c r="L251" s="130" t="str">
        <f t="shared" si="17"/>
        <v/>
      </c>
      <c r="M251" s="130" t="str">
        <f t="shared" si="15"/>
        <v/>
      </c>
      <c r="N251" s="129"/>
      <c r="O251" s="131" t="str">
        <f>IF($B251="","",'Qredits maandlasten'!$C$8)</f>
        <v/>
      </c>
      <c r="P251" s="131" t="str">
        <f>IF($B251="","",'Qredits maandlasten'!$C$8*(POWER(1+'Qredits maandlasten'!$C$8,$B251-1+1)))</f>
        <v/>
      </c>
      <c r="Q251" s="131" t="str">
        <f t="shared" si="18"/>
        <v/>
      </c>
      <c r="R251" s="129"/>
      <c r="S251" s="130" t="str">
        <f t="shared" si="16"/>
        <v/>
      </c>
      <c r="T251" s="130" t="str">
        <f>IF(S251="","",J251/(POWER(1+'Qredits maandlasten'!$C$8,$B251-1+1)))</f>
        <v/>
      </c>
      <c r="U251" s="132" t="str">
        <f t="shared" si="19"/>
        <v/>
      </c>
      <c r="V251" s="130" t="str">
        <f>IF($B251="","",K251/(POWER(1+'Qredits maandlasten'!$C$8,$B251-1+1)))</f>
        <v/>
      </c>
      <c r="W251" s="129"/>
    </row>
    <row r="252" spans="1:23" s="134" customFormat="1" x14ac:dyDescent="0.2">
      <c r="A252" s="125"/>
      <c r="B252" s="126" t="str">
        <f>IF($B251="","",IF($B251+1&gt;'Qredits maandlasten'!$C$4,"",Schema!B251+1))</f>
        <v/>
      </c>
      <c r="C252" s="127" t="str">
        <f>IF($B251="","",IF($B251+1&gt;'Qredits maandlasten'!$C$4,"",EOMONTH(C251,0)+1))</f>
        <v/>
      </c>
      <c r="D252" s="125"/>
      <c r="E252" s="127" t="str">
        <f>IF($B251="","",IF($B251+1&gt;'Qredits maandlasten'!$C$4,"",F251+1))</f>
        <v/>
      </c>
      <c r="F252" s="127" t="str">
        <f>IF($B251="","",IF($B251+1&gt;'Qredits maandlasten'!$C$4,"",EOMONTH(E252,0)))</f>
        <v/>
      </c>
      <c r="G252" s="128" t="str">
        <f>IF($B251="","",IF($B251+1&gt;'Qredits maandlasten'!$C$4,"",(_xlfn.DAYS(F252,E252)+1)/DAY(F252)))</f>
        <v/>
      </c>
      <c r="H252" s="129"/>
      <c r="I252" s="130" t="str">
        <f>IF($B251="","",IF($B251+1&gt;'Qredits maandlasten'!$C$4,"",I251-J251))</f>
        <v/>
      </c>
      <c r="J252" s="130" t="str">
        <f>IF($B251="","",IF($B251+1&gt;'Qredits maandlasten'!$C$4,"",IF(B251&lt;'Qredits maandlasten'!$C$11-1,0,IF('Qredits maandlasten'!$C$10=dropdowns!$A$93,'Qredits maandlasten'!$J$3,IF('Qredits maandlasten'!$C$10=dropdowns!$A$92,IFERROR('Qredits maandlasten'!$J$3-K252,0),0)))))</f>
        <v/>
      </c>
      <c r="K252" s="130" t="str">
        <f>IF($B251="","",IF($B251+1&gt;'Qredits maandlasten'!$C$4,"",G252*I252*'Qredits maandlasten'!$C$8))</f>
        <v/>
      </c>
      <c r="L252" s="130" t="str">
        <f t="shared" si="17"/>
        <v/>
      </c>
      <c r="M252" s="130" t="str">
        <f t="shared" si="15"/>
        <v/>
      </c>
      <c r="N252" s="129"/>
      <c r="O252" s="131" t="str">
        <f>IF($B252="","",'Qredits maandlasten'!$C$8)</f>
        <v/>
      </c>
      <c r="P252" s="131" t="str">
        <f>IF($B252="","",'Qredits maandlasten'!$C$8*(POWER(1+'Qredits maandlasten'!$C$8,$B252-1+1)))</f>
        <v/>
      </c>
      <c r="Q252" s="131" t="str">
        <f t="shared" si="18"/>
        <v/>
      </c>
      <c r="R252" s="129"/>
      <c r="S252" s="130" t="str">
        <f t="shared" si="16"/>
        <v/>
      </c>
      <c r="T252" s="130" t="str">
        <f>IF(S252="","",J252/(POWER(1+'Qredits maandlasten'!$C$8,$B252-1+1)))</f>
        <v/>
      </c>
      <c r="U252" s="132" t="str">
        <f t="shared" si="19"/>
        <v/>
      </c>
      <c r="V252" s="130" t="str">
        <f>IF($B252="","",K252/(POWER(1+'Qredits maandlasten'!$C$8,$B252-1+1)))</f>
        <v/>
      </c>
      <c r="W252" s="129"/>
    </row>
    <row r="253" spans="1:23" s="134" customFormat="1" x14ac:dyDescent="0.2">
      <c r="A253" s="125"/>
      <c r="B253" s="126" t="str">
        <f>IF($B252="","",IF($B252+1&gt;'Qredits maandlasten'!$C$4,"",Schema!B252+1))</f>
        <v/>
      </c>
      <c r="C253" s="127" t="str">
        <f>IF($B252="","",IF($B252+1&gt;'Qredits maandlasten'!$C$4,"",EOMONTH(C252,0)+1))</f>
        <v/>
      </c>
      <c r="D253" s="125"/>
      <c r="E253" s="127" t="str">
        <f>IF($B252="","",IF($B252+1&gt;'Qredits maandlasten'!$C$4,"",F252+1))</f>
        <v/>
      </c>
      <c r="F253" s="127" t="str">
        <f>IF($B252="","",IF($B252+1&gt;'Qredits maandlasten'!$C$4,"",EOMONTH(E253,0)))</f>
        <v/>
      </c>
      <c r="G253" s="128" t="str">
        <f>IF($B252="","",IF($B252+1&gt;'Qredits maandlasten'!$C$4,"",(_xlfn.DAYS(F253,E253)+1)/DAY(F253)))</f>
        <v/>
      </c>
      <c r="H253" s="129"/>
      <c r="I253" s="130" t="str">
        <f>IF($B252="","",IF($B252+1&gt;'Qredits maandlasten'!$C$4,"",I252-J252))</f>
        <v/>
      </c>
      <c r="J253" s="130" t="str">
        <f>IF($B252="","",IF($B252+1&gt;'Qredits maandlasten'!$C$4,"",IF(B252&lt;'Qredits maandlasten'!$C$11-1,0,IF('Qredits maandlasten'!$C$10=dropdowns!$A$93,'Qredits maandlasten'!$J$3,IF('Qredits maandlasten'!$C$10=dropdowns!$A$92,IFERROR('Qredits maandlasten'!$J$3-K253,0),0)))))</f>
        <v/>
      </c>
      <c r="K253" s="130" t="str">
        <f>IF($B252="","",IF($B252+1&gt;'Qredits maandlasten'!$C$4,"",G253*I253*'Qredits maandlasten'!$C$8))</f>
        <v/>
      </c>
      <c r="L253" s="130" t="str">
        <f t="shared" si="17"/>
        <v/>
      </c>
      <c r="M253" s="130" t="str">
        <f t="shared" si="15"/>
        <v/>
      </c>
      <c r="N253" s="129"/>
      <c r="O253" s="131" t="str">
        <f>IF($B253="","",'Qredits maandlasten'!$C$8)</f>
        <v/>
      </c>
      <c r="P253" s="131" t="str">
        <f>IF($B253="","",'Qredits maandlasten'!$C$8*(POWER(1+'Qredits maandlasten'!$C$8,$B253-1+1)))</f>
        <v/>
      </c>
      <c r="Q253" s="131" t="str">
        <f t="shared" si="18"/>
        <v/>
      </c>
      <c r="R253" s="129"/>
      <c r="S253" s="130" t="str">
        <f t="shared" si="16"/>
        <v/>
      </c>
      <c r="T253" s="130" t="str">
        <f>IF(S253="","",J253/(POWER(1+'Qredits maandlasten'!$C$8,$B253-1+1)))</f>
        <v/>
      </c>
      <c r="U253" s="132" t="str">
        <f t="shared" si="19"/>
        <v/>
      </c>
      <c r="V253" s="130" t="str">
        <f>IF($B253="","",K253/(POWER(1+'Qredits maandlasten'!$C$8,$B253-1+1)))</f>
        <v/>
      </c>
      <c r="W253" s="129"/>
    </row>
    <row r="254" spans="1:23" s="134" customFormat="1" x14ac:dyDescent="0.2">
      <c r="A254" s="125"/>
      <c r="B254" s="126" t="str">
        <f>IF($B253="","",IF($B253+1&gt;'Qredits maandlasten'!$C$4,"",Schema!B253+1))</f>
        <v/>
      </c>
      <c r="C254" s="127" t="str">
        <f>IF($B253="","",IF($B253+1&gt;'Qredits maandlasten'!$C$4,"",EOMONTH(C253,0)+1))</f>
        <v/>
      </c>
      <c r="D254" s="125"/>
      <c r="E254" s="127" t="str">
        <f>IF($B253="","",IF($B253+1&gt;'Qredits maandlasten'!$C$4,"",F253+1))</f>
        <v/>
      </c>
      <c r="F254" s="127" t="str">
        <f>IF($B253="","",IF($B253+1&gt;'Qredits maandlasten'!$C$4,"",EOMONTH(E254,0)))</f>
        <v/>
      </c>
      <c r="G254" s="128" t="str">
        <f>IF($B253="","",IF($B253+1&gt;'Qredits maandlasten'!$C$4,"",(_xlfn.DAYS(F254,E254)+1)/DAY(F254)))</f>
        <v/>
      </c>
      <c r="H254" s="129"/>
      <c r="I254" s="130" t="str">
        <f>IF($B253="","",IF($B253+1&gt;'Qredits maandlasten'!$C$4,"",I253-J253))</f>
        <v/>
      </c>
      <c r="J254" s="130" t="str">
        <f>IF($B253="","",IF($B253+1&gt;'Qredits maandlasten'!$C$4,"",IF(B253&lt;'Qredits maandlasten'!$C$11-1,0,IF('Qredits maandlasten'!$C$10=dropdowns!$A$93,'Qredits maandlasten'!$J$3,IF('Qredits maandlasten'!$C$10=dropdowns!$A$92,IFERROR('Qredits maandlasten'!$J$3-K254,0),0)))))</f>
        <v/>
      </c>
      <c r="K254" s="130" t="str">
        <f>IF($B253="","",IF($B253+1&gt;'Qredits maandlasten'!$C$4,"",G254*I254*'Qredits maandlasten'!$C$8))</f>
        <v/>
      </c>
      <c r="L254" s="130" t="str">
        <f t="shared" si="17"/>
        <v/>
      </c>
      <c r="M254" s="130" t="str">
        <f t="shared" si="15"/>
        <v/>
      </c>
      <c r="N254" s="129"/>
      <c r="O254" s="131" t="str">
        <f>IF($B254="","",'Qredits maandlasten'!$C$8)</f>
        <v/>
      </c>
      <c r="P254" s="131" t="str">
        <f>IF($B254="","",'Qredits maandlasten'!$C$8*(POWER(1+'Qredits maandlasten'!$C$8,$B254-1+1)))</f>
        <v/>
      </c>
      <c r="Q254" s="131" t="str">
        <f t="shared" si="18"/>
        <v/>
      </c>
      <c r="R254" s="129"/>
      <c r="S254" s="130" t="str">
        <f t="shared" si="16"/>
        <v/>
      </c>
      <c r="T254" s="130" t="str">
        <f>IF(S254="","",J254/(POWER(1+'Qredits maandlasten'!$C$8,$B254-1+1)))</f>
        <v/>
      </c>
      <c r="U254" s="132" t="str">
        <f t="shared" si="19"/>
        <v/>
      </c>
      <c r="V254" s="130" t="str">
        <f>IF($B254="","",K254/(POWER(1+'Qredits maandlasten'!$C$8,$B254-1+1)))</f>
        <v/>
      </c>
      <c r="W254" s="129"/>
    </row>
    <row r="255" spans="1:23" s="134" customFormat="1" x14ac:dyDescent="0.2">
      <c r="A255" s="125"/>
      <c r="B255" s="126" t="str">
        <f>IF($B254="","",IF($B254+1&gt;'Qredits maandlasten'!$C$4,"",Schema!B254+1))</f>
        <v/>
      </c>
      <c r="C255" s="127" t="str">
        <f>IF($B254="","",IF($B254+1&gt;'Qredits maandlasten'!$C$4,"",EOMONTH(C254,0)+1))</f>
        <v/>
      </c>
      <c r="D255" s="125"/>
      <c r="E255" s="127" t="str">
        <f>IF($B254="","",IF($B254+1&gt;'Qredits maandlasten'!$C$4,"",F254+1))</f>
        <v/>
      </c>
      <c r="F255" s="127" t="str">
        <f>IF($B254="","",IF($B254+1&gt;'Qredits maandlasten'!$C$4,"",EOMONTH(E255,0)))</f>
        <v/>
      </c>
      <c r="G255" s="128" t="str">
        <f>IF($B254="","",IF($B254+1&gt;'Qredits maandlasten'!$C$4,"",(_xlfn.DAYS(F255,E255)+1)/DAY(F255)))</f>
        <v/>
      </c>
      <c r="H255" s="129"/>
      <c r="I255" s="130" t="str">
        <f>IF($B254="","",IF($B254+1&gt;'Qredits maandlasten'!$C$4,"",I254-J254))</f>
        <v/>
      </c>
      <c r="J255" s="130" t="str">
        <f>IF($B254="","",IF($B254+1&gt;'Qredits maandlasten'!$C$4,"",IF(B254&lt;'Qredits maandlasten'!$C$11-1,0,IF('Qredits maandlasten'!$C$10=dropdowns!$A$93,'Qredits maandlasten'!$J$3,IF('Qredits maandlasten'!$C$10=dropdowns!$A$92,IFERROR('Qredits maandlasten'!$J$3-K255,0),0)))))</f>
        <v/>
      </c>
      <c r="K255" s="130" t="str">
        <f>IF($B254="","",IF($B254+1&gt;'Qredits maandlasten'!$C$4,"",G255*I255*'Qredits maandlasten'!$C$8))</f>
        <v/>
      </c>
      <c r="L255" s="130" t="str">
        <f t="shared" si="17"/>
        <v/>
      </c>
      <c r="M255" s="130" t="str">
        <f t="shared" si="15"/>
        <v/>
      </c>
      <c r="N255" s="129"/>
      <c r="O255" s="131" t="str">
        <f>IF($B255="","",'Qredits maandlasten'!$C$8)</f>
        <v/>
      </c>
      <c r="P255" s="131" t="str">
        <f>IF($B255="","",'Qredits maandlasten'!$C$8*(POWER(1+'Qredits maandlasten'!$C$8,$B255-1+1)))</f>
        <v/>
      </c>
      <c r="Q255" s="131" t="str">
        <f t="shared" si="18"/>
        <v/>
      </c>
      <c r="R255" s="129"/>
      <c r="S255" s="130" t="str">
        <f t="shared" si="16"/>
        <v/>
      </c>
      <c r="T255" s="130" t="str">
        <f>IF(S255="","",J255/(POWER(1+'Qredits maandlasten'!$C$8,$B255-1+1)))</f>
        <v/>
      </c>
      <c r="U255" s="132" t="str">
        <f t="shared" si="19"/>
        <v/>
      </c>
      <c r="V255" s="130" t="str">
        <f>IF($B255="","",K255/(POWER(1+'Qredits maandlasten'!$C$8,$B255-1+1)))</f>
        <v/>
      </c>
      <c r="W255" s="129"/>
    </row>
    <row r="256" spans="1:23" s="134" customFormat="1" x14ac:dyDescent="0.2">
      <c r="A256" s="125"/>
      <c r="B256" s="126" t="str">
        <f>IF($B255="","",IF($B255+1&gt;'Qredits maandlasten'!$C$4,"",Schema!B255+1))</f>
        <v/>
      </c>
      <c r="C256" s="127" t="str">
        <f>IF($B255="","",IF($B255+1&gt;'Qredits maandlasten'!$C$4,"",EOMONTH(C255,0)+1))</f>
        <v/>
      </c>
      <c r="D256" s="125"/>
      <c r="E256" s="127" t="str">
        <f>IF($B255="","",IF($B255+1&gt;'Qredits maandlasten'!$C$4,"",F255+1))</f>
        <v/>
      </c>
      <c r="F256" s="127" t="str">
        <f>IF($B255="","",IF($B255+1&gt;'Qredits maandlasten'!$C$4,"",EOMONTH(E256,0)))</f>
        <v/>
      </c>
      <c r="G256" s="128" t="str">
        <f>IF($B255="","",IF($B255+1&gt;'Qredits maandlasten'!$C$4,"",(_xlfn.DAYS(F256,E256)+1)/DAY(F256)))</f>
        <v/>
      </c>
      <c r="H256" s="129"/>
      <c r="I256" s="130" t="str">
        <f>IF($B255="","",IF($B255+1&gt;'Qredits maandlasten'!$C$4,"",I255-J255))</f>
        <v/>
      </c>
      <c r="J256" s="130" t="str">
        <f>IF($B255="","",IF($B255+1&gt;'Qredits maandlasten'!$C$4,"",IF(B255&lt;'Qredits maandlasten'!$C$11-1,0,IF('Qredits maandlasten'!$C$10=dropdowns!$A$93,'Qredits maandlasten'!$J$3,IF('Qredits maandlasten'!$C$10=dropdowns!$A$92,IFERROR('Qredits maandlasten'!$J$3-K256,0),0)))))</f>
        <v/>
      </c>
      <c r="K256" s="130" t="str">
        <f>IF($B255="","",IF($B255+1&gt;'Qredits maandlasten'!$C$4,"",G256*I256*'Qredits maandlasten'!$C$8))</f>
        <v/>
      </c>
      <c r="L256" s="130" t="str">
        <f t="shared" si="17"/>
        <v/>
      </c>
      <c r="M256" s="130" t="str">
        <f t="shared" si="15"/>
        <v/>
      </c>
      <c r="N256" s="129"/>
      <c r="O256" s="131" t="str">
        <f>IF($B256="","",'Qredits maandlasten'!$C$8)</f>
        <v/>
      </c>
      <c r="P256" s="131" t="str">
        <f>IF($B256="","",'Qredits maandlasten'!$C$8*(POWER(1+'Qredits maandlasten'!$C$8,$B256-1+1)))</f>
        <v/>
      </c>
      <c r="Q256" s="131" t="str">
        <f t="shared" si="18"/>
        <v/>
      </c>
      <c r="R256" s="129"/>
      <c r="S256" s="130" t="str">
        <f t="shared" si="16"/>
        <v/>
      </c>
      <c r="T256" s="130" t="str">
        <f>IF(S256="","",J256/(POWER(1+'Qredits maandlasten'!$C$8,$B256-1+1)))</f>
        <v/>
      </c>
      <c r="U256" s="132" t="str">
        <f t="shared" si="19"/>
        <v/>
      </c>
      <c r="V256" s="130" t="str">
        <f>IF($B256="","",K256/(POWER(1+'Qredits maandlasten'!$C$8,$B256-1+1)))</f>
        <v/>
      </c>
      <c r="W256" s="129"/>
    </row>
    <row r="257" spans="1:23" s="134" customFormat="1" x14ac:dyDescent="0.2">
      <c r="A257" s="125"/>
      <c r="B257" s="126" t="str">
        <f>IF($B256="","",IF($B256+1&gt;'Qredits maandlasten'!$C$4,"",Schema!B256+1))</f>
        <v/>
      </c>
      <c r="C257" s="127" t="str">
        <f>IF($B256="","",IF($B256+1&gt;'Qredits maandlasten'!$C$4,"",EOMONTH(C256,0)+1))</f>
        <v/>
      </c>
      <c r="D257" s="125"/>
      <c r="E257" s="127" t="str">
        <f>IF($B256="","",IF($B256+1&gt;'Qredits maandlasten'!$C$4,"",F256+1))</f>
        <v/>
      </c>
      <c r="F257" s="127" t="str">
        <f>IF($B256="","",IF($B256+1&gt;'Qredits maandlasten'!$C$4,"",EOMONTH(E257,0)))</f>
        <v/>
      </c>
      <c r="G257" s="128" t="str">
        <f>IF($B256="","",IF($B256+1&gt;'Qredits maandlasten'!$C$4,"",(_xlfn.DAYS(F257,E257)+1)/DAY(F257)))</f>
        <v/>
      </c>
      <c r="H257" s="129"/>
      <c r="I257" s="130" t="str">
        <f>IF($B256="","",IF($B256+1&gt;'Qredits maandlasten'!$C$4,"",I256-J256))</f>
        <v/>
      </c>
      <c r="J257" s="130" t="str">
        <f>IF($B256="","",IF($B256+1&gt;'Qredits maandlasten'!$C$4,"",IF(B256&lt;'Qredits maandlasten'!$C$11-1,0,IF('Qredits maandlasten'!$C$10=dropdowns!$A$93,'Qredits maandlasten'!$J$3,IF('Qredits maandlasten'!$C$10=dropdowns!$A$92,IFERROR('Qredits maandlasten'!$J$3-K257,0),0)))))</f>
        <v/>
      </c>
      <c r="K257" s="130" t="str">
        <f>IF($B256="","",IF($B256+1&gt;'Qredits maandlasten'!$C$4,"",G257*I257*'Qredits maandlasten'!$C$8))</f>
        <v/>
      </c>
      <c r="L257" s="130" t="str">
        <f t="shared" si="17"/>
        <v/>
      </c>
      <c r="M257" s="130" t="str">
        <f t="shared" si="15"/>
        <v/>
      </c>
      <c r="N257" s="129"/>
      <c r="O257" s="131" t="str">
        <f>IF($B257="","",'Qredits maandlasten'!$C$8)</f>
        <v/>
      </c>
      <c r="P257" s="131" t="str">
        <f>IF($B257="","",'Qredits maandlasten'!$C$8*(POWER(1+'Qredits maandlasten'!$C$8,$B257-1+1)))</f>
        <v/>
      </c>
      <c r="Q257" s="131" t="str">
        <f t="shared" si="18"/>
        <v/>
      </c>
      <c r="R257" s="129"/>
      <c r="S257" s="130" t="str">
        <f t="shared" si="16"/>
        <v/>
      </c>
      <c r="T257" s="130" t="str">
        <f>IF(S257="","",J257/(POWER(1+'Qredits maandlasten'!$C$8,$B257-1+1)))</f>
        <v/>
      </c>
      <c r="U257" s="132" t="str">
        <f t="shared" si="19"/>
        <v/>
      </c>
      <c r="V257" s="130" t="str">
        <f>IF($B257="","",K257/(POWER(1+'Qredits maandlasten'!$C$8,$B257-1+1)))</f>
        <v/>
      </c>
      <c r="W257" s="129"/>
    </row>
    <row r="258" spans="1:23" s="134" customFormat="1" x14ac:dyDescent="0.2">
      <c r="A258" s="125"/>
      <c r="B258" s="126" t="str">
        <f>IF($B257="","",IF($B257+1&gt;'Qredits maandlasten'!$C$4,"",Schema!B257+1))</f>
        <v/>
      </c>
      <c r="C258" s="127" t="str">
        <f>IF($B257="","",IF($B257+1&gt;'Qredits maandlasten'!$C$4,"",EOMONTH(C257,0)+1))</f>
        <v/>
      </c>
      <c r="D258" s="125"/>
      <c r="E258" s="127" t="str">
        <f>IF($B257="","",IF($B257+1&gt;'Qredits maandlasten'!$C$4,"",F257+1))</f>
        <v/>
      </c>
      <c r="F258" s="127" t="str">
        <f>IF($B257="","",IF($B257+1&gt;'Qredits maandlasten'!$C$4,"",EOMONTH(E258,0)))</f>
        <v/>
      </c>
      <c r="G258" s="128" t="str">
        <f>IF($B257="","",IF($B257+1&gt;'Qredits maandlasten'!$C$4,"",(_xlfn.DAYS(F258,E258)+1)/DAY(F258)))</f>
        <v/>
      </c>
      <c r="H258" s="129"/>
      <c r="I258" s="130" t="str">
        <f>IF($B257="","",IF($B257+1&gt;'Qredits maandlasten'!$C$4,"",I257-J257))</f>
        <v/>
      </c>
      <c r="J258" s="130" t="str">
        <f>IF($B257="","",IF($B257+1&gt;'Qredits maandlasten'!$C$4,"",IF(B257&lt;'Qredits maandlasten'!$C$11-1,0,IF('Qredits maandlasten'!$C$10=dropdowns!$A$93,'Qredits maandlasten'!$J$3,IF('Qredits maandlasten'!$C$10=dropdowns!$A$92,IFERROR('Qredits maandlasten'!$J$3-K258,0),0)))))</f>
        <v/>
      </c>
      <c r="K258" s="130" t="str">
        <f>IF($B257="","",IF($B257+1&gt;'Qredits maandlasten'!$C$4,"",G258*I258*'Qredits maandlasten'!$C$8))</f>
        <v/>
      </c>
      <c r="L258" s="130" t="str">
        <f t="shared" si="17"/>
        <v/>
      </c>
      <c r="M258" s="130" t="str">
        <f t="shared" si="15"/>
        <v/>
      </c>
      <c r="N258" s="129"/>
      <c r="O258" s="131" t="str">
        <f>IF($B258="","",'Qredits maandlasten'!$C$8)</f>
        <v/>
      </c>
      <c r="P258" s="131" t="str">
        <f>IF($B258="","",'Qredits maandlasten'!$C$8*(POWER(1+'Qredits maandlasten'!$C$8,$B258-1+1)))</f>
        <v/>
      </c>
      <c r="Q258" s="131" t="str">
        <f t="shared" si="18"/>
        <v/>
      </c>
      <c r="R258" s="129"/>
      <c r="S258" s="130" t="str">
        <f t="shared" si="16"/>
        <v/>
      </c>
      <c r="T258" s="130" t="str">
        <f>IF(S258="","",J258/(POWER(1+'Qredits maandlasten'!$C$8,$B258-1+1)))</f>
        <v/>
      </c>
      <c r="U258" s="132" t="str">
        <f t="shared" si="19"/>
        <v/>
      </c>
      <c r="V258" s="130" t="str">
        <f>IF($B258="","",K258/(POWER(1+'Qredits maandlasten'!$C$8,$B258-1+1)))</f>
        <v/>
      </c>
      <c r="W258" s="129"/>
    </row>
    <row r="259" spans="1:23" s="134" customFormat="1" x14ac:dyDescent="0.2">
      <c r="A259" s="125"/>
      <c r="B259" s="126" t="str">
        <f>IF($B258="","",IF($B258+1&gt;'Qredits maandlasten'!$C$4,"",Schema!B258+1))</f>
        <v/>
      </c>
      <c r="C259" s="127" t="str">
        <f>IF($B258="","",IF($B258+1&gt;'Qredits maandlasten'!$C$4,"",EOMONTH(C258,0)+1))</f>
        <v/>
      </c>
      <c r="D259" s="125"/>
      <c r="E259" s="127" t="str">
        <f>IF($B258="","",IF($B258+1&gt;'Qredits maandlasten'!$C$4,"",F258+1))</f>
        <v/>
      </c>
      <c r="F259" s="127" t="str">
        <f>IF($B258="","",IF($B258+1&gt;'Qredits maandlasten'!$C$4,"",EOMONTH(E259,0)))</f>
        <v/>
      </c>
      <c r="G259" s="128" t="str">
        <f>IF($B258="","",IF($B258+1&gt;'Qredits maandlasten'!$C$4,"",(_xlfn.DAYS(F259,E259)+1)/DAY(F259)))</f>
        <v/>
      </c>
      <c r="H259" s="129"/>
      <c r="I259" s="130" t="str">
        <f>IF($B258="","",IF($B258+1&gt;'Qredits maandlasten'!$C$4,"",I258-J258))</f>
        <v/>
      </c>
      <c r="J259" s="130" t="str">
        <f>IF($B258="","",IF($B258+1&gt;'Qredits maandlasten'!$C$4,"",IF(B258&lt;'Qredits maandlasten'!$C$11-1,0,IF('Qredits maandlasten'!$C$10=dropdowns!$A$93,'Qredits maandlasten'!$J$3,IF('Qredits maandlasten'!$C$10=dropdowns!$A$92,IFERROR('Qredits maandlasten'!$J$3-K259,0),0)))))</f>
        <v/>
      </c>
      <c r="K259" s="130" t="str">
        <f>IF($B258="","",IF($B258+1&gt;'Qredits maandlasten'!$C$4,"",G259*I259*'Qredits maandlasten'!$C$8))</f>
        <v/>
      </c>
      <c r="L259" s="130" t="str">
        <f t="shared" si="17"/>
        <v/>
      </c>
      <c r="M259" s="130" t="str">
        <f t="shared" si="15"/>
        <v/>
      </c>
      <c r="N259" s="129"/>
      <c r="O259" s="131" t="str">
        <f>IF($B259="","",'Qredits maandlasten'!$C$8)</f>
        <v/>
      </c>
      <c r="P259" s="131" t="str">
        <f>IF($B259="","",'Qredits maandlasten'!$C$8*(POWER(1+'Qredits maandlasten'!$C$8,$B259-1+1)))</f>
        <v/>
      </c>
      <c r="Q259" s="131" t="str">
        <f t="shared" si="18"/>
        <v/>
      </c>
      <c r="R259" s="129"/>
      <c r="S259" s="130" t="str">
        <f t="shared" si="16"/>
        <v/>
      </c>
      <c r="T259" s="130" t="str">
        <f>IF(S259="","",J259/(POWER(1+'Qredits maandlasten'!$C$8,$B259-1+1)))</f>
        <v/>
      </c>
      <c r="U259" s="132" t="str">
        <f t="shared" si="19"/>
        <v/>
      </c>
      <c r="V259" s="130" t="str">
        <f>IF($B259="","",K259/(POWER(1+'Qredits maandlasten'!$C$8,$B259-1+1)))</f>
        <v/>
      </c>
      <c r="W259" s="129"/>
    </row>
    <row r="260" spans="1:23" s="134" customFormat="1" x14ac:dyDescent="0.2">
      <c r="A260" s="125"/>
      <c r="B260" s="126" t="str">
        <f>IF($B259="","",IF($B259+1&gt;'Qredits maandlasten'!$C$4,"",Schema!B259+1))</f>
        <v/>
      </c>
      <c r="C260" s="127" t="str">
        <f>IF($B259="","",IF($B259+1&gt;'Qredits maandlasten'!$C$4,"",EOMONTH(C259,0)+1))</f>
        <v/>
      </c>
      <c r="D260" s="125"/>
      <c r="E260" s="127" t="str">
        <f>IF($B259="","",IF($B259+1&gt;'Qredits maandlasten'!$C$4,"",F259+1))</f>
        <v/>
      </c>
      <c r="F260" s="127" t="str">
        <f>IF($B259="","",IF($B259+1&gt;'Qredits maandlasten'!$C$4,"",EOMONTH(E260,0)))</f>
        <v/>
      </c>
      <c r="G260" s="128" t="str">
        <f>IF($B259="","",IF($B259+1&gt;'Qredits maandlasten'!$C$4,"",(_xlfn.DAYS(F260,E260)+1)/DAY(F260)))</f>
        <v/>
      </c>
      <c r="H260" s="129"/>
      <c r="I260" s="130" t="str">
        <f>IF($B259="","",IF($B259+1&gt;'Qredits maandlasten'!$C$4,"",I259-J259))</f>
        <v/>
      </c>
      <c r="J260" s="130" t="str">
        <f>IF($B259="","",IF($B259+1&gt;'Qredits maandlasten'!$C$4,"",IF(B259&lt;'Qredits maandlasten'!$C$11-1,0,IF('Qredits maandlasten'!$C$10=dropdowns!$A$93,'Qredits maandlasten'!$J$3,IF('Qredits maandlasten'!$C$10=dropdowns!$A$92,IFERROR('Qredits maandlasten'!$J$3-K260,0),0)))))</f>
        <v/>
      </c>
      <c r="K260" s="130" t="str">
        <f>IF($B259="","",IF($B259+1&gt;'Qredits maandlasten'!$C$4,"",G260*I260*'Qredits maandlasten'!$C$8))</f>
        <v/>
      </c>
      <c r="L260" s="130" t="str">
        <f t="shared" si="17"/>
        <v/>
      </c>
      <c r="M260" s="130" t="str">
        <f t="shared" si="15"/>
        <v/>
      </c>
      <c r="N260" s="129"/>
      <c r="O260" s="131" t="str">
        <f>IF($B260="","",'Qredits maandlasten'!$C$8)</f>
        <v/>
      </c>
      <c r="P260" s="131" t="str">
        <f>IF($B260="","",'Qredits maandlasten'!$C$8*(POWER(1+'Qredits maandlasten'!$C$8,$B260-1+1)))</f>
        <v/>
      </c>
      <c r="Q260" s="131" t="str">
        <f t="shared" si="18"/>
        <v/>
      </c>
      <c r="R260" s="129"/>
      <c r="S260" s="130" t="str">
        <f t="shared" si="16"/>
        <v/>
      </c>
      <c r="T260" s="130" t="str">
        <f>IF(S260="","",J260/(POWER(1+'Qredits maandlasten'!$C$8,$B260-1+1)))</f>
        <v/>
      </c>
      <c r="U260" s="132" t="str">
        <f t="shared" si="19"/>
        <v/>
      </c>
      <c r="V260" s="130" t="str">
        <f>IF($B260="","",K260/(POWER(1+'Qredits maandlasten'!$C$8,$B260-1+1)))</f>
        <v/>
      </c>
      <c r="W260" s="129"/>
    </row>
    <row r="261" spans="1:23" s="134" customFormat="1" x14ac:dyDescent="0.2">
      <c r="A261" s="125"/>
      <c r="B261" s="126" t="str">
        <f>IF($B260="","",IF($B260+1&gt;'Qredits maandlasten'!$C$4,"",Schema!B260+1))</f>
        <v/>
      </c>
      <c r="C261" s="127" t="str">
        <f>IF($B260="","",IF($B260+1&gt;'Qredits maandlasten'!$C$4,"",EOMONTH(C260,0)+1))</f>
        <v/>
      </c>
      <c r="D261" s="125"/>
      <c r="E261" s="127" t="str">
        <f>IF($B260="","",IF($B260+1&gt;'Qredits maandlasten'!$C$4,"",F260+1))</f>
        <v/>
      </c>
      <c r="F261" s="127" t="str">
        <f>IF($B260="","",IF($B260+1&gt;'Qredits maandlasten'!$C$4,"",EOMONTH(E261,0)))</f>
        <v/>
      </c>
      <c r="G261" s="128" t="str">
        <f>IF($B260="","",IF($B260+1&gt;'Qredits maandlasten'!$C$4,"",(_xlfn.DAYS(F261,E261)+1)/DAY(F261)))</f>
        <v/>
      </c>
      <c r="H261" s="129"/>
      <c r="I261" s="130" t="str">
        <f>IF($B260="","",IF($B260+1&gt;'Qredits maandlasten'!$C$4,"",I260-J260))</f>
        <v/>
      </c>
      <c r="J261" s="130" t="str">
        <f>IF($B260="","",IF($B260+1&gt;'Qredits maandlasten'!$C$4,"",IF(B260&lt;'Qredits maandlasten'!$C$11-1,0,IF('Qredits maandlasten'!$C$10=dropdowns!$A$93,'Qredits maandlasten'!$J$3,IF('Qredits maandlasten'!$C$10=dropdowns!$A$92,IFERROR('Qredits maandlasten'!$J$3-K261,0),0)))))</f>
        <v/>
      </c>
      <c r="K261" s="130" t="str">
        <f>IF($B260="","",IF($B260+1&gt;'Qredits maandlasten'!$C$4,"",G261*I261*'Qredits maandlasten'!$C$8))</f>
        <v/>
      </c>
      <c r="L261" s="130" t="str">
        <f t="shared" si="17"/>
        <v/>
      </c>
      <c r="M261" s="130" t="str">
        <f t="shared" si="15"/>
        <v/>
      </c>
      <c r="N261" s="129"/>
      <c r="O261" s="131" t="str">
        <f>IF($B261="","",'Qredits maandlasten'!$C$8)</f>
        <v/>
      </c>
      <c r="P261" s="131" t="str">
        <f>IF($B261="","",'Qredits maandlasten'!$C$8*(POWER(1+'Qredits maandlasten'!$C$8,$B261-1+1)))</f>
        <v/>
      </c>
      <c r="Q261" s="131" t="str">
        <f t="shared" si="18"/>
        <v/>
      </c>
      <c r="R261" s="129"/>
      <c r="S261" s="130" t="str">
        <f t="shared" si="16"/>
        <v/>
      </c>
      <c r="T261" s="130" t="str">
        <f>IF(S261="","",J261/(POWER(1+'Qredits maandlasten'!$C$8,$B261-1+1)))</f>
        <v/>
      </c>
      <c r="U261" s="132" t="str">
        <f t="shared" si="19"/>
        <v/>
      </c>
      <c r="V261" s="130" t="str">
        <f>IF($B261="","",K261/(POWER(1+'Qredits maandlasten'!$C$8,$B261-1+1)))</f>
        <v/>
      </c>
      <c r="W261" s="129"/>
    </row>
    <row r="262" spans="1:23" s="134" customFormat="1" x14ac:dyDescent="0.2">
      <c r="A262" s="125"/>
      <c r="B262" s="126" t="str">
        <f>IF($B261="","",IF($B261+1&gt;'Qredits maandlasten'!$C$4,"",Schema!B261+1))</f>
        <v/>
      </c>
      <c r="C262" s="127" t="str">
        <f>IF($B261="","",IF($B261+1&gt;'Qredits maandlasten'!$C$4,"",EOMONTH(C261,0)+1))</f>
        <v/>
      </c>
      <c r="D262" s="125"/>
      <c r="E262" s="127" t="str">
        <f>IF($B261="","",IF($B261+1&gt;'Qredits maandlasten'!$C$4,"",F261+1))</f>
        <v/>
      </c>
      <c r="F262" s="127" t="str">
        <f>IF($B261="","",IF($B261+1&gt;'Qredits maandlasten'!$C$4,"",EOMONTH(E262,0)))</f>
        <v/>
      </c>
      <c r="G262" s="128" t="str">
        <f>IF($B261="","",IF($B261+1&gt;'Qredits maandlasten'!$C$4,"",(_xlfn.DAYS(F262,E262)+1)/DAY(F262)))</f>
        <v/>
      </c>
      <c r="H262" s="129"/>
      <c r="I262" s="130" t="str">
        <f>IF($B261="","",IF($B261+1&gt;'Qredits maandlasten'!$C$4,"",I261-J261))</f>
        <v/>
      </c>
      <c r="J262" s="130" t="str">
        <f>IF($B261="","",IF($B261+1&gt;'Qredits maandlasten'!$C$4,"",IF(B261&lt;'Qredits maandlasten'!$C$11-1,0,IF('Qredits maandlasten'!$C$10=dropdowns!$A$93,'Qredits maandlasten'!$J$3,IF('Qredits maandlasten'!$C$10=dropdowns!$A$92,IFERROR('Qredits maandlasten'!$J$3-K262,0),0)))))</f>
        <v/>
      </c>
      <c r="K262" s="130" t="str">
        <f>IF($B261="","",IF($B261+1&gt;'Qredits maandlasten'!$C$4,"",G262*I262*'Qredits maandlasten'!$C$8))</f>
        <v/>
      </c>
      <c r="L262" s="130" t="str">
        <f t="shared" si="17"/>
        <v/>
      </c>
      <c r="M262" s="130" t="str">
        <f t="shared" si="15"/>
        <v/>
      </c>
      <c r="N262" s="129"/>
      <c r="O262" s="131" t="str">
        <f>IF($B262="","",'Qredits maandlasten'!$C$8)</f>
        <v/>
      </c>
      <c r="P262" s="131" t="str">
        <f>IF($B262="","",'Qredits maandlasten'!$C$8*(POWER(1+'Qredits maandlasten'!$C$8,$B262-1+1)))</f>
        <v/>
      </c>
      <c r="Q262" s="131" t="str">
        <f t="shared" si="18"/>
        <v/>
      </c>
      <c r="R262" s="129"/>
      <c r="S262" s="130" t="str">
        <f t="shared" si="16"/>
        <v/>
      </c>
      <c r="T262" s="130" t="str">
        <f>IF(S262="","",J262/(POWER(1+'Qredits maandlasten'!$C$8,$B262-1+1)))</f>
        <v/>
      </c>
      <c r="U262" s="132" t="str">
        <f t="shared" si="19"/>
        <v/>
      </c>
      <c r="V262" s="130" t="str">
        <f>IF($B262="","",K262/(POWER(1+'Qredits maandlasten'!$C$8,$B262-1+1)))</f>
        <v/>
      </c>
      <c r="W262" s="129"/>
    </row>
    <row r="263" spans="1:23" s="134" customFormat="1" x14ac:dyDescent="0.2">
      <c r="A263" s="125"/>
      <c r="B263" s="126" t="str">
        <f>IF($B262="","",IF($B262+1&gt;'Qredits maandlasten'!$C$4,"",Schema!B262+1))</f>
        <v/>
      </c>
      <c r="C263" s="127" t="str">
        <f>IF($B262="","",IF($B262+1&gt;'Qredits maandlasten'!$C$4,"",EOMONTH(C262,0)+1))</f>
        <v/>
      </c>
      <c r="D263" s="125"/>
      <c r="E263" s="127" t="str">
        <f>IF($B262="","",IF($B262+1&gt;'Qredits maandlasten'!$C$4,"",F262+1))</f>
        <v/>
      </c>
      <c r="F263" s="127" t="str">
        <f>IF($B262="","",IF($B262+1&gt;'Qredits maandlasten'!$C$4,"",EOMONTH(E263,0)))</f>
        <v/>
      </c>
      <c r="G263" s="128" t="str">
        <f>IF($B262="","",IF($B262+1&gt;'Qredits maandlasten'!$C$4,"",(_xlfn.DAYS(F263,E263)+1)/DAY(F263)))</f>
        <v/>
      </c>
      <c r="H263" s="129"/>
      <c r="I263" s="130" t="str">
        <f>IF($B262="","",IF($B262+1&gt;'Qredits maandlasten'!$C$4,"",I262-J262))</f>
        <v/>
      </c>
      <c r="J263" s="130" t="str">
        <f>IF($B262="","",IF($B262+1&gt;'Qredits maandlasten'!$C$4,"",IF(B262&lt;'Qredits maandlasten'!$C$11-1,0,IF('Qredits maandlasten'!$C$10=dropdowns!$A$93,'Qredits maandlasten'!$J$3,IF('Qredits maandlasten'!$C$10=dropdowns!$A$92,IFERROR('Qredits maandlasten'!$J$3-K263,0),0)))))</f>
        <v/>
      </c>
      <c r="K263" s="130" t="str">
        <f>IF($B262="","",IF($B262+1&gt;'Qredits maandlasten'!$C$4,"",G263*I263*'Qredits maandlasten'!$C$8))</f>
        <v/>
      </c>
      <c r="L263" s="130" t="str">
        <f t="shared" si="17"/>
        <v/>
      </c>
      <c r="M263" s="130" t="str">
        <f t="shared" si="15"/>
        <v/>
      </c>
      <c r="N263" s="129"/>
      <c r="O263" s="131" t="str">
        <f>IF($B263="","",'Qredits maandlasten'!$C$8)</f>
        <v/>
      </c>
      <c r="P263" s="131" t="str">
        <f>IF($B263="","",'Qredits maandlasten'!$C$8*(POWER(1+'Qredits maandlasten'!$C$8,$B263-1+1)))</f>
        <v/>
      </c>
      <c r="Q263" s="131" t="str">
        <f t="shared" si="18"/>
        <v/>
      </c>
      <c r="R263" s="129"/>
      <c r="S263" s="130" t="str">
        <f t="shared" si="16"/>
        <v/>
      </c>
      <c r="T263" s="130" t="str">
        <f>IF(S263="","",J263/(POWER(1+'Qredits maandlasten'!$C$8,$B263-1+1)))</f>
        <v/>
      </c>
      <c r="U263" s="132" t="str">
        <f t="shared" si="19"/>
        <v/>
      </c>
      <c r="V263" s="130" t="str">
        <f>IF($B263="","",K263/(POWER(1+'Qredits maandlasten'!$C$8,$B263-1+1)))</f>
        <v/>
      </c>
      <c r="W263" s="129"/>
    </row>
    <row r="264" spans="1:23" s="134" customFormat="1" x14ac:dyDescent="0.2">
      <c r="A264" s="125"/>
      <c r="B264" s="126" t="str">
        <f>IF($B263="","",IF($B263+1&gt;'Qredits maandlasten'!$C$4,"",Schema!B263+1))</f>
        <v/>
      </c>
      <c r="C264" s="127" t="str">
        <f>IF($B263="","",IF($B263+1&gt;'Qredits maandlasten'!$C$4,"",EOMONTH(C263,0)+1))</f>
        <v/>
      </c>
      <c r="D264" s="125"/>
      <c r="E264" s="127" t="str">
        <f>IF($B263="","",IF($B263+1&gt;'Qredits maandlasten'!$C$4,"",F263+1))</f>
        <v/>
      </c>
      <c r="F264" s="127" t="str">
        <f>IF($B263="","",IF($B263+1&gt;'Qredits maandlasten'!$C$4,"",EOMONTH(E264,0)))</f>
        <v/>
      </c>
      <c r="G264" s="128" t="str">
        <f>IF($B263="","",IF($B263+1&gt;'Qredits maandlasten'!$C$4,"",(_xlfn.DAYS(F264,E264)+1)/DAY(F264)))</f>
        <v/>
      </c>
      <c r="H264" s="129"/>
      <c r="I264" s="130" t="str">
        <f>IF($B263="","",IF($B263+1&gt;'Qredits maandlasten'!$C$4,"",I263-J263))</f>
        <v/>
      </c>
      <c r="J264" s="130" t="str">
        <f>IF($B263="","",IF($B263+1&gt;'Qredits maandlasten'!$C$4,"",IF(B263&lt;'Qredits maandlasten'!$C$11-1,0,IF('Qredits maandlasten'!$C$10=dropdowns!$A$93,'Qredits maandlasten'!$J$3,IF('Qredits maandlasten'!$C$10=dropdowns!$A$92,IFERROR('Qredits maandlasten'!$J$3-K264,0),0)))))</f>
        <v/>
      </c>
      <c r="K264" s="130" t="str">
        <f>IF($B263="","",IF($B263+1&gt;'Qredits maandlasten'!$C$4,"",G264*I264*'Qredits maandlasten'!$C$8))</f>
        <v/>
      </c>
      <c r="L264" s="130" t="str">
        <f t="shared" si="17"/>
        <v/>
      </c>
      <c r="M264" s="130" t="str">
        <f t="shared" si="15"/>
        <v/>
      </c>
      <c r="N264" s="129"/>
      <c r="O264" s="131" t="str">
        <f>IF($B264="","",'Qredits maandlasten'!$C$8)</f>
        <v/>
      </c>
      <c r="P264" s="131" t="str">
        <f>IF($B264="","",'Qredits maandlasten'!$C$8*(POWER(1+'Qredits maandlasten'!$C$8,$B264-1+1)))</f>
        <v/>
      </c>
      <c r="Q264" s="131" t="str">
        <f t="shared" si="18"/>
        <v/>
      </c>
      <c r="R264" s="129"/>
      <c r="S264" s="130" t="str">
        <f t="shared" si="16"/>
        <v/>
      </c>
      <c r="T264" s="130" t="str">
        <f>IF(S264="","",J264/(POWER(1+'Qredits maandlasten'!$C$8,$B264-1+1)))</f>
        <v/>
      </c>
      <c r="U264" s="132" t="str">
        <f t="shared" si="19"/>
        <v/>
      </c>
      <c r="V264" s="130" t="str">
        <f>IF($B264="","",K264/(POWER(1+'Qredits maandlasten'!$C$8,$B264-1+1)))</f>
        <v/>
      </c>
      <c r="W264" s="129"/>
    </row>
    <row r="265" spans="1:23" s="134" customFormat="1" x14ac:dyDescent="0.2">
      <c r="A265" s="125"/>
      <c r="B265" s="126" t="str">
        <f>IF($B264="","",IF($B264+1&gt;'Qredits maandlasten'!$C$4,"",Schema!B264+1))</f>
        <v/>
      </c>
      <c r="C265" s="127" t="str">
        <f>IF($B264="","",IF($B264+1&gt;'Qredits maandlasten'!$C$4,"",EOMONTH(C264,0)+1))</f>
        <v/>
      </c>
      <c r="D265" s="125"/>
      <c r="E265" s="127" t="str">
        <f>IF($B264="","",IF($B264+1&gt;'Qredits maandlasten'!$C$4,"",F264+1))</f>
        <v/>
      </c>
      <c r="F265" s="127" t="str">
        <f>IF($B264="","",IF($B264+1&gt;'Qredits maandlasten'!$C$4,"",EOMONTH(E265,0)))</f>
        <v/>
      </c>
      <c r="G265" s="128" t="str">
        <f>IF($B264="","",IF($B264+1&gt;'Qredits maandlasten'!$C$4,"",(_xlfn.DAYS(F265,E265)+1)/DAY(F265)))</f>
        <v/>
      </c>
      <c r="H265" s="129"/>
      <c r="I265" s="130" t="str">
        <f>IF($B264="","",IF($B264+1&gt;'Qredits maandlasten'!$C$4,"",I264-J264))</f>
        <v/>
      </c>
      <c r="J265" s="130" t="str">
        <f>IF($B264="","",IF($B264+1&gt;'Qredits maandlasten'!$C$4,"",IF(B264&lt;'Qredits maandlasten'!$C$11-1,0,IF('Qredits maandlasten'!$C$10=dropdowns!$A$93,'Qredits maandlasten'!$J$3,IF('Qredits maandlasten'!$C$10=dropdowns!$A$92,IFERROR('Qredits maandlasten'!$J$3-K265,0),0)))))</f>
        <v/>
      </c>
      <c r="K265" s="130" t="str">
        <f>IF($B264="","",IF($B264+1&gt;'Qredits maandlasten'!$C$4,"",G265*I265*'Qredits maandlasten'!$C$8))</f>
        <v/>
      </c>
      <c r="L265" s="130" t="str">
        <f t="shared" si="17"/>
        <v/>
      </c>
      <c r="M265" s="130" t="str">
        <f t="shared" si="15"/>
        <v/>
      </c>
      <c r="N265" s="129"/>
      <c r="O265" s="131" t="str">
        <f>IF($B265="","",'Qredits maandlasten'!$C$8)</f>
        <v/>
      </c>
      <c r="P265" s="131" t="str">
        <f>IF($B265="","",'Qredits maandlasten'!$C$8*(POWER(1+'Qredits maandlasten'!$C$8,$B265-1+1)))</f>
        <v/>
      </c>
      <c r="Q265" s="131" t="str">
        <f t="shared" si="18"/>
        <v/>
      </c>
      <c r="R265" s="129"/>
      <c r="S265" s="130" t="str">
        <f t="shared" si="16"/>
        <v/>
      </c>
      <c r="T265" s="130" t="str">
        <f>IF(S265="","",J265/(POWER(1+'Qredits maandlasten'!$C$8,$B265-1+1)))</f>
        <v/>
      </c>
      <c r="U265" s="132" t="str">
        <f t="shared" si="19"/>
        <v/>
      </c>
      <c r="V265" s="130" t="str">
        <f>IF($B265="","",K265/(POWER(1+'Qredits maandlasten'!$C$8,$B265-1+1)))</f>
        <v/>
      </c>
      <c r="W265" s="129"/>
    </row>
    <row r="266" spans="1:23" s="134" customFormat="1" x14ac:dyDescent="0.2">
      <c r="A266" s="125"/>
      <c r="B266" s="126" t="str">
        <f>IF($B265="","",IF($B265+1&gt;'Qredits maandlasten'!$C$4,"",Schema!B265+1))</f>
        <v/>
      </c>
      <c r="C266" s="127" t="str">
        <f>IF($B265="","",IF($B265+1&gt;'Qredits maandlasten'!$C$4,"",EOMONTH(C265,0)+1))</f>
        <v/>
      </c>
      <c r="D266" s="125"/>
      <c r="E266" s="127" t="str">
        <f>IF($B265="","",IF($B265+1&gt;'Qredits maandlasten'!$C$4,"",F265+1))</f>
        <v/>
      </c>
      <c r="F266" s="127" t="str">
        <f>IF($B265="","",IF($B265+1&gt;'Qredits maandlasten'!$C$4,"",EOMONTH(E266,0)))</f>
        <v/>
      </c>
      <c r="G266" s="128" t="str">
        <f>IF($B265="","",IF($B265+1&gt;'Qredits maandlasten'!$C$4,"",(_xlfn.DAYS(F266,E266)+1)/DAY(F266)))</f>
        <v/>
      </c>
      <c r="H266" s="129"/>
      <c r="I266" s="130" t="str">
        <f>IF($B265="","",IF($B265+1&gt;'Qredits maandlasten'!$C$4,"",I265-J265))</f>
        <v/>
      </c>
      <c r="J266" s="130" t="str">
        <f>IF($B265="","",IF($B265+1&gt;'Qredits maandlasten'!$C$4,"",IF(B265&lt;'Qredits maandlasten'!$C$11-1,0,IF('Qredits maandlasten'!$C$10=dropdowns!$A$93,'Qredits maandlasten'!$J$3,IF('Qredits maandlasten'!$C$10=dropdowns!$A$92,IFERROR('Qredits maandlasten'!$J$3-K266,0),0)))))</f>
        <v/>
      </c>
      <c r="K266" s="130" t="str">
        <f>IF($B265="","",IF($B265+1&gt;'Qredits maandlasten'!$C$4,"",G266*I266*'Qredits maandlasten'!$C$8))</f>
        <v/>
      </c>
      <c r="L266" s="130" t="str">
        <f t="shared" si="17"/>
        <v/>
      </c>
      <c r="M266" s="130" t="str">
        <f t="shared" ref="M266:M329" si="20">IF(S266="","",-K266-J266)</f>
        <v/>
      </c>
      <c r="N266" s="129"/>
      <c r="O266" s="131" t="str">
        <f>IF($B266="","",'Qredits maandlasten'!$C$8)</f>
        <v/>
      </c>
      <c r="P266" s="131" t="str">
        <f>IF($B266="","",'Qredits maandlasten'!$C$8*(POWER(1+'Qredits maandlasten'!$C$8,$B266-1+1)))</f>
        <v/>
      </c>
      <c r="Q266" s="131" t="str">
        <f t="shared" si="18"/>
        <v/>
      </c>
      <c r="R266" s="129"/>
      <c r="S266" s="130" t="str">
        <f t="shared" ref="S266:S329" si="21">IF(B266="","",IF(S265-T265&lt;0,"",S265-T265))</f>
        <v/>
      </c>
      <c r="T266" s="130" t="str">
        <f>IF(S266="","",J266/(POWER(1+'Qredits maandlasten'!$C$8,$B266-1+1)))</f>
        <v/>
      </c>
      <c r="U266" s="132" t="str">
        <f t="shared" si="19"/>
        <v/>
      </c>
      <c r="V266" s="130" t="str">
        <f>IF($B266="","",K266/(POWER(1+'Qredits maandlasten'!$C$8,$B266-1+1)))</f>
        <v/>
      </c>
      <c r="W266" s="129"/>
    </row>
    <row r="267" spans="1:23" s="134" customFormat="1" x14ac:dyDescent="0.2">
      <c r="A267" s="125"/>
      <c r="B267" s="126" t="str">
        <f>IF($B266="","",IF($B266+1&gt;'Qredits maandlasten'!$C$4,"",Schema!B266+1))</f>
        <v/>
      </c>
      <c r="C267" s="127" t="str">
        <f>IF($B266="","",IF($B266+1&gt;'Qredits maandlasten'!$C$4,"",EOMONTH(C266,0)+1))</f>
        <v/>
      </c>
      <c r="D267" s="125"/>
      <c r="E267" s="127" t="str">
        <f>IF($B266="","",IF($B266+1&gt;'Qredits maandlasten'!$C$4,"",F266+1))</f>
        <v/>
      </c>
      <c r="F267" s="127" t="str">
        <f>IF($B266="","",IF($B266+1&gt;'Qredits maandlasten'!$C$4,"",EOMONTH(E267,0)))</f>
        <v/>
      </c>
      <c r="G267" s="128" t="str">
        <f>IF($B266="","",IF($B266+1&gt;'Qredits maandlasten'!$C$4,"",(_xlfn.DAYS(F267,E267)+1)/DAY(F267)))</f>
        <v/>
      </c>
      <c r="H267" s="129"/>
      <c r="I267" s="130" t="str">
        <f>IF($B266="","",IF($B266+1&gt;'Qredits maandlasten'!$C$4,"",I266-J266))</f>
        <v/>
      </c>
      <c r="J267" s="130" t="str">
        <f>IF($B266="","",IF($B266+1&gt;'Qredits maandlasten'!$C$4,"",IF(B266&lt;'Qredits maandlasten'!$C$11-1,0,IF('Qredits maandlasten'!$C$10=dropdowns!$A$93,'Qredits maandlasten'!$J$3,IF('Qredits maandlasten'!$C$10=dropdowns!$A$92,IFERROR('Qredits maandlasten'!$J$3-K267,0),0)))))</f>
        <v/>
      </c>
      <c r="K267" s="130" t="str">
        <f>IF($B266="","",IF($B266+1&gt;'Qredits maandlasten'!$C$4,"",G267*I267*'Qredits maandlasten'!$C$8))</f>
        <v/>
      </c>
      <c r="L267" s="130" t="str">
        <f t="shared" ref="L267:L330" si="22">IF(S267="","",-K267-J267)</f>
        <v/>
      </c>
      <c r="M267" s="130" t="str">
        <f t="shared" si="20"/>
        <v/>
      </c>
      <c r="N267" s="129"/>
      <c r="O267" s="131" t="str">
        <f>IF($B267="","",'Qredits maandlasten'!$C$8)</f>
        <v/>
      </c>
      <c r="P267" s="131" t="str">
        <f>IF($B267="","",'Qredits maandlasten'!$C$8*(POWER(1+'Qredits maandlasten'!$C$8,$B267-1+1)))</f>
        <v/>
      </c>
      <c r="Q267" s="131" t="str">
        <f t="shared" ref="Q267:Q330" si="23">IF($B267="","",IFERROR(J267/T267-1,0))</f>
        <v/>
      </c>
      <c r="R267" s="129"/>
      <c r="S267" s="130" t="str">
        <f t="shared" si="21"/>
        <v/>
      </c>
      <c r="T267" s="130" t="str">
        <f>IF(S267="","",J267/(POWER(1+'Qredits maandlasten'!$C$8,$B267-1+1)))</f>
        <v/>
      </c>
      <c r="U267" s="132" t="str">
        <f t="shared" ref="U267:U330" si="24">IF(S267="","",T267+V267)</f>
        <v/>
      </c>
      <c r="V267" s="130" t="str">
        <f>IF($B267="","",K267/(POWER(1+'Qredits maandlasten'!$C$8,$B267-1+1)))</f>
        <v/>
      </c>
      <c r="W267" s="129"/>
    </row>
    <row r="268" spans="1:23" s="134" customFormat="1" x14ac:dyDescent="0.2">
      <c r="A268" s="125"/>
      <c r="B268" s="126" t="str">
        <f>IF($B267="","",IF($B267+1&gt;'Qredits maandlasten'!$C$4,"",Schema!B267+1))</f>
        <v/>
      </c>
      <c r="C268" s="127" t="str">
        <f>IF($B267="","",IF($B267+1&gt;'Qredits maandlasten'!$C$4,"",EOMONTH(C267,0)+1))</f>
        <v/>
      </c>
      <c r="D268" s="125"/>
      <c r="E268" s="127" t="str">
        <f>IF($B267="","",IF($B267+1&gt;'Qredits maandlasten'!$C$4,"",F267+1))</f>
        <v/>
      </c>
      <c r="F268" s="127" t="str">
        <f>IF($B267="","",IF($B267+1&gt;'Qredits maandlasten'!$C$4,"",EOMONTH(E268,0)))</f>
        <v/>
      </c>
      <c r="G268" s="128" t="str">
        <f>IF($B267="","",IF($B267+1&gt;'Qredits maandlasten'!$C$4,"",(_xlfn.DAYS(F268,E268)+1)/DAY(F268)))</f>
        <v/>
      </c>
      <c r="H268" s="129"/>
      <c r="I268" s="130" t="str">
        <f>IF($B267="","",IF($B267+1&gt;'Qredits maandlasten'!$C$4,"",I267-J267))</f>
        <v/>
      </c>
      <c r="J268" s="130" t="str">
        <f>IF($B267="","",IF($B267+1&gt;'Qredits maandlasten'!$C$4,"",IF(B267&lt;'Qredits maandlasten'!$C$11-1,0,IF('Qredits maandlasten'!$C$10=dropdowns!$A$93,'Qredits maandlasten'!$J$3,IF('Qredits maandlasten'!$C$10=dropdowns!$A$92,IFERROR('Qredits maandlasten'!$J$3-K268,0),0)))))</f>
        <v/>
      </c>
      <c r="K268" s="130" t="str">
        <f>IF($B267="","",IF($B267+1&gt;'Qredits maandlasten'!$C$4,"",G268*I268*'Qredits maandlasten'!$C$8))</f>
        <v/>
      </c>
      <c r="L268" s="130" t="str">
        <f t="shared" si="22"/>
        <v/>
      </c>
      <c r="M268" s="130" t="str">
        <f t="shared" si="20"/>
        <v/>
      </c>
      <c r="N268" s="129"/>
      <c r="O268" s="131" t="str">
        <f>IF($B268="","",'Qredits maandlasten'!$C$8)</f>
        <v/>
      </c>
      <c r="P268" s="131" t="str">
        <f>IF($B268="","",'Qredits maandlasten'!$C$8*(POWER(1+'Qredits maandlasten'!$C$8,$B268-1+1)))</f>
        <v/>
      </c>
      <c r="Q268" s="131" t="str">
        <f t="shared" si="23"/>
        <v/>
      </c>
      <c r="R268" s="129"/>
      <c r="S268" s="130" t="str">
        <f t="shared" si="21"/>
        <v/>
      </c>
      <c r="T268" s="130" t="str">
        <f>IF(S268="","",J268/(POWER(1+'Qredits maandlasten'!$C$8,$B268-1+1)))</f>
        <v/>
      </c>
      <c r="U268" s="132" t="str">
        <f t="shared" si="24"/>
        <v/>
      </c>
      <c r="V268" s="130" t="str">
        <f>IF($B268="","",K268/(POWER(1+'Qredits maandlasten'!$C$8,$B268-1+1)))</f>
        <v/>
      </c>
      <c r="W268" s="129"/>
    </row>
    <row r="269" spans="1:23" s="134" customFormat="1" x14ac:dyDescent="0.2">
      <c r="A269" s="125"/>
      <c r="B269" s="126" t="str">
        <f>IF($B268="","",IF($B268+1&gt;'Qredits maandlasten'!$C$4,"",Schema!B268+1))</f>
        <v/>
      </c>
      <c r="C269" s="127" t="str">
        <f>IF($B268="","",IF($B268+1&gt;'Qredits maandlasten'!$C$4,"",EOMONTH(C268,0)+1))</f>
        <v/>
      </c>
      <c r="D269" s="125"/>
      <c r="E269" s="127" t="str">
        <f>IF($B268="","",IF($B268+1&gt;'Qredits maandlasten'!$C$4,"",F268+1))</f>
        <v/>
      </c>
      <c r="F269" s="127" t="str">
        <f>IF($B268="","",IF($B268+1&gt;'Qredits maandlasten'!$C$4,"",EOMONTH(E269,0)))</f>
        <v/>
      </c>
      <c r="G269" s="128" t="str">
        <f>IF($B268="","",IF($B268+1&gt;'Qredits maandlasten'!$C$4,"",(_xlfn.DAYS(F269,E269)+1)/DAY(F269)))</f>
        <v/>
      </c>
      <c r="H269" s="129"/>
      <c r="I269" s="130" t="str">
        <f>IF($B268="","",IF($B268+1&gt;'Qredits maandlasten'!$C$4,"",I268-J268))</f>
        <v/>
      </c>
      <c r="J269" s="130" t="str">
        <f>IF($B268="","",IF($B268+1&gt;'Qredits maandlasten'!$C$4,"",IF(B268&lt;'Qredits maandlasten'!$C$11-1,0,IF('Qredits maandlasten'!$C$10=dropdowns!$A$93,'Qredits maandlasten'!$J$3,IF('Qredits maandlasten'!$C$10=dropdowns!$A$92,IFERROR('Qredits maandlasten'!$J$3-K269,0),0)))))</f>
        <v/>
      </c>
      <c r="K269" s="130" t="str">
        <f>IF($B268="","",IF($B268+1&gt;'Qredits maandlasten'!$C$4,"",G269*I269*'Qredits maandlasten'!$C$8))</f>
        <v/>
      </c>
      <c r="L269" s="130" t="str">
        <f t="shared" si="22"/>
        <v/>
      </c>
      <c r="M269" s="130" t="str">
        <f t="shared" si="20"/>
        <v/>
      </c>
      <c r="N269" s="129"/>
      <c r="O269" s="131" t="str">
        <f>IF($B269="","",'Qredits maandlasten'!$C$8)</f>
        <v/>
      </c>
      <c r="P269" s="131" t="str">
        <f>IF($B269="","",'Qredits maandlasten'!$C$8*(POWER(1+'Qredits maandlasten'!$C$8,$B269-1+1)))</f>
        <v/>
      </c>
      <c r="Q269" s="131" t="str">
        <f t="shared" si="23"/>
        <v/>
      </c>
      <c r="R269" s="129"/>
      <c r="S269" s="130" t="str">
        <f t="shared" si="21"/>
        <v/>
      </c>
      <c r="T269" s="130" t="str">
        <f>IF(S269="","",J269/(POWER(1+'Qredits maandlasten'!$C$8,$B269-1+1)))</f>
        <v/>
      </c>
      <c r="U269" s="132" t="str">
        <f t="shared" si="24"/>
        <v/>
      </c>
      <c r="V269" s="130" t="str">
        <f>IF($B269="","",K269/(POWER(1+'Qredits maandlasten'!$C$8,$B269-1+1)))</f>
        <v/>
      </c>
      <c r="W269" s="129"/>
    </row>
    <row r="270" spans="1:23" s="134" customFormat="1" x14ac:dyDescent="0.2">
      <c r="A270" s="125"/>
      <c r="B270" s="126" t="str">
        <f>IF($B269="","",IF($B269+1&gt;'Qredits maandlasten'!$C$4,"",Schema!B269+1))</f>
        <v/>
      </c>
      <c r="C270" s="127" t="str">
        <f>IF($B269="","",IF($B269+1&gt;'Qredits maandlasten'!$C$4,"",EOMONTH(C269,0)+1))</f>
        <v/>
      </c>
      <c r="D270" s="125"/>
      <c r="E270" s="127" t="str">
        <f>IF($B269="","",IF($B269+1&gt;'Qredits maandlasten'!$C$4,"",F269+1))</f>
        <v/>
      </c>
      <c r="F270" s="127" t="str">
        <f>IF($B269="","",IF($B269+1&gt;'Qredits maandlasten'!$C$4,"",EOMONTH(E270,0)))</f>
        <v/>
      </c>
      <c r="G270" s="128" t="str">
        <f>IF($B269="","",IF($B269+1&gt;'Qredits maandlasten'!$C$4,"",(_xlfn.DAYS(F270,E270)+1)/DAY(F270)))</f>
        <v/>
      </c>
      <c r="H270" s="129"/>
      <c r="I270" s="130" t="str">
        <f>IF($B269="","",IF($B269+1&gt;'Qredits maandlasten'!$C$4,"",I269-J269))</f>
        <v/>
      </c>
      <c r="J270" s="130" t="str">
        <f>IF($B269="","",IF($B269+1&gt;'Qredits maandlasten'!$C$4,"",IF(B269&lt;'Qredits maandlasten'!$C$11-1,0,IF('Qredits maandlasten'!$C$10=dropdowns!$A$93,'Qredits maandlasten'!$J$3,IF('Qredits maandlasten'!$C$10=dropdowns!$A$92,IFERROR('Qredits maandlasten'!$J$3-K270,0),0)))))</f>
        <v/>
      </c>
      <c r="K270" s="130" t="str">
        <f>IF($B269="","",IF($B269+1&gt;'Qredits maandlasten'!$C$4,"",G270*I270*'Qredits maandlasten'!$C$8))</f>
        <v/>
      </c>
      <c r="L270" s="130" t="str">
        <f t="shared" si="22"/>
        <v/>
      </c>
      <c r="M270" s="130" t="str">
        <f t="shared" si="20"/>
        <v/>
      </c>
      <c r="N270" s="129"/>
      <c r="O270" s="131" t="str">
        <f>IF($B270="","",'Qredits maandlasten'!$C$8)</f>
        <v/>
      </c>
      <c r="P270" s="131" t="str">
        <f>IF($B270="","",'Qredits maandlasten'!$C$8*(POWER(1+'Qredits maandlasten'!$C$8,$B270-1+1)))</f>
        <v/>
      </c>
      <c r="Q270" s="131" t="str">
        <f t="shared" si="23"/>
        <v/>
      </c>
      <c r="R270" s="129"/>
      <c r="S270" s="130" t="str">
        <f t="shared" si="21"/>
        <v/>
      </c>
      <c r="T270" s="130" t="str">
        <f>IF(S270="","",J270/(POWER(1+'Qredits maandlasten'!$C$8,$B270-1+1)))</f>
        <v/>
      </c>
      <c r="U270" s="132" t="str">
        <f t="shared" si="24"/>
        <v/>
      </c>
      <c r="V270" s="130" t="str">
        <f>IF($B270="","",K270/(POWER(1+'Qredits maandlasten'!$C$8,$B270-1+1)))</f>
        <v/>
      </c>
      <c r="W270" s="129"/>
    </row>
    <row r="271" spans="1:23" s="134" customFormat="1" x14ac:dyDescent="0.2">
      <c r="A271" s="125"/>
      <c r="B271" s="126" t="str">
        <f>IF($B270="","",IF($B270+1&gt;'Qredits maandlasten'!$C$4,"",Schema!B270+1))</f>
        <v/>
      </c>
      <c r="C271" s="127" t="str">
        <f>IF($B270="","",IF($B270+1&gt;'Qredits maandlasten'!$C$4,"",EOMONTH(C270,0)+1))</f>
        <v/>
      </c>
      <c r="D271" s="125"/>
      <c r="E271" s="127" t="str">
        <f>IF($B270="","",IF($B270+1&gt;'Qredits maandlasten'!$C$4,"",F270+1))</f>
        <v/>
      </c>
      <c r="F271" s="127" t="str">
        <f>IF($B270="","",IF($B270+1&gt;'Qredits maandlasten'!$C$4,"",EOMONTH(E271,0)))</f>
        <v/>
      </c>
      <c r="G271" s="128" t="str">
        <f>IF($B270="","",IF($B270+1&gt;'Qredits maandlasten'!$C$4,"",(_xlfn.DAYS(F271,E271)+1)/DAY(F271)))</f>
        <v/>
      </c>
      <c r="H271" s="129"/>
      <c r="I271" s="130" t="str">
        <f>IF($B270="","",IF($B270+1&gt;'Qredits maandlasten'!$C$4,"",I270-J270))</f>
        <v/>
      </c>
      <c r="J271" s="130" t="str">
        <f>IF($B270="","",IF($B270+1&gt;'Qredits maandlasten'!$C$4,"",IF(B270&lt;'Qredits maandlasten'!$C$11-1,0,IF('Qredits maandlasten'!$C$10=dropdowns!$A$93,'Qredits maandlasten'!$J$3,IF('Qredits maandlasten'!$C$10=dropdowns!$A$92,IFERROR('Qredits maandlasten'!$J$3-K271,0),0)))))</f>
        <v/>
      </c>
      <c r="K271" s="130" t="str">
        <f>IF($B270="","",IF($B270+1&gt;'Qredits maandlasten'!$C$4,"",G271*I271*'Qredits maandlasten'!$C$8))</f>
        <v/>
      </c>
      <c r="L271" s="130" t="str">
        <f t="shared" si="22"/>
        <v/>
      </c>
      <c r="M271" s="130" t="str">
        <f t="shared" si="20"/>
        <v/>
      </c>
      <c r="N271" s="129"/>
      <c r="O271" s="131" t="str">
        <f>IF($B271="","",'Qredits maandlasten'!$C$8)</f>
        <v/>
      </c>
      <c r="P271" s="131" t="str">
        <f>IF($B271="","",'Qredits maandlasten'!$C$8*(POWER(1+'Qredits maandlasten'!$C$8,$B271-1+1)))</f>
        <v/>
      </c>
      <c r="Q271" s="131" t="str">
        <f t="shared" si="23"/>
        <v/>
      </c>
      <c r="R271" s="129"/>
      <c r="S271" s="130" t="str">
        <f t="shared" si="21"/>
        <v/>
      </c>
      <c r="T271" s="130" t="str">
        <f>IF(S271="","",J271/(POWER(1+'Qredits maandlasten'!$C$8,$B271-1+1)))</f>
        <v/>
      </c>
      <c r="U271" s="132" t="str">
        <f t="shared" si="24"/>
        <v/>
      </c>
      <c r="V271" s="130" t="str">
        <f>IF($B271="","",K271/(POWER(1+'Qredits maandlasten'!$C$8,$B271-1+1)))</f>
        <v/>
      </c>
      <c r="W271" s="129"/>
    </row>
    <row r="272" spans="1:23" s="134" customFormat="1" x14ac:dyDescent="0.2">
      <c r="A272" s="125"/>
      <c r="B272" s="126" t="str">
        <f>IF($B271="","",IF($B271+1&gt;'Qredits maandlasten'!$C$4,"",Schema!B271+1))</f>
        <v/>
      </c>
      <c r="C272" s="127" t="str">
        <f>IF($B271="","",IF($B271+1&gt;'Qredits maandlasten'!$C$4,"",EOMONTH(C271,0)+1))</f>
        <v/>
      </c>
      <c r="D272" s="125"/>
      <c r="E272" s="127" t="str">
        <f>IF($B271="","",IF($B271+1&gt;'Qredits maandlasten'!$C$4,"",F271+1))</f>
        <v/>
      </c>
      <c r="F272" s="127" t="str">
        <f>IF($B271="","",IF($B271+1&gt;'Qredits maandlasten'!$C$4,"",EOMONTH(E272,0)))</f>
        <v/>
      </c>
      <c r="G272" s="128" t="str">
        <f>IF($B271="","",IF($B271+1&gt;'Qredits maandlasten'!$C$4,"",(_xlfn.DAYS(F272,E272)+1)/DAY(F272)))</f>
        <v/>
      </c>
      <c r="H272" s="129"/>
      <c r="I272" s="130" t="str">
        <f>IF($B271="","",IF($B271+1&gt;'Qredits maandlasten'!$C$4,"",I271-J271))</f>
        <v/>
      </c>
      <c r="J272" s="130" t="str">
        <f>IF($B271="","",IF($B271+1&gt;'Qredits maandlasten'!$C$4,"",IF(B271&lt;'Qredits maandlasten'!$C$11-1,0,IF('Qredits maandlasten'!$C$10=dropdowns!$A$93,'Qredits maandlasten'!$J$3,IF('Qredits maandlasten'!$C$10=dropdowns!$A$92,IFERROR('Qredits maandlasten'!$J$3-K272,0),0)))))</f>
        <v/>
      </c>
      <c r="K272" s="130" t="str">
        <f>IF($B271="","",IF($B271+1&gt;'Qredits maandlasten'!$C$4,"",G272*I272*'Qredits maandlasten'!$C$8))</f>
        <v/>
      </c>
      <c r="L272" s="130" t="str">
        <f t="shared" si="22"/>
        <v/>
      </c>
      <c r="M272" s="130" t="str">
        <f t="shared" si="20"/>
        <v/>
      </c>
      <c r="N272" s="129"/>
      <c r="O272" s="131" t="str">
        <f>IF($B272="","",'Qredits maandlasten'!$C$8)</f>
        <v/>
      </c>
      <c r="P272" s="131" t="str">
        <f>IF($B272="","",'Qredits maandlasten'!$C$8*(POWER(1+'Qredits maandlasten'!$C$8,$B272-1+1)))</f>
        <v/>
      </c>
      <c r="Q272" s="131" t="str">
        <f t="shared" si="23"/>
        <v/>
      </c>
      <c r="R272" s="129"/>
      <c r="S272" s="130" t="str">
        <f t="shared" si="21"/>
        <v/>
      </c>
      <c r="T272" s="130" t="str">
        <f>IF(S272="","",J272/(POWER(1+'Qredits maandlasten'!$C$8,$B272-1+1)))</f>
        <v/>
      </c>
      <c r="U272" s="132" t="str">
        <f t="shared" si="24"/>
        <v/>
      </c>
      <c r="V272" s="130" t="str">
        <f>IF($B272="","",K272/(POWER(1+'Qredits maandlasten'!$C$8,$B272-1+1)))</f>
        <v/>
      </c>
      <c r="W272" s="129"/>
    </row>
    <row r="273" spans="1:23" s="134" customFormat="1" x14ac:dyDescent="0.2">
      <c r="A273" s="125"/>
      <c r="B273" s="126" t="str">
        <f>IF($B272="","",IF($B272+1&gt;'Qredits maandlasten'!$C$4,"",Schema!B272+1))</f>
        <v/>
      </c>
      <c r="C273" s="127" t="str">
        <f>IF($B272="","",IF($B272+1&gt;'Qredits maandlasten'!$C$4,"",EOMONTH(C272,0)+1))</f>
        <v/>
      </c>
      <c r="D273" s="125"/>
      <c r="E273" s="127" t="str">
        <f>IF($B272="","",IF($B272+1&gt;'Qredits maandlasten'!$C$4,"",F272+1))</f>
        <v/>
      </c>
      <c r="F273" s="127" t="str">
        <f>IF($B272="","",IF($B272+1&gt;'Qredits maandlasten'!$C$4,"",EOMONTH(E273,0)))</f>
        <v/>
      </c>
      <c r="G273" s="128" t="str">
        <f>IF($B272="","",IF($B272+1&gt;'Qredits maandlasten'!$C$4,"",(_xlfn.DAYS(F273,E273)+1)/DAY(F273)))</f>
        <v/>
      </c>
      <c r="H273" s="129"/>
      <c r="I273" s="130" t="str">
        <f>IF($B272="","",IF($B272+1&gt;'Qredits maandlasten'!$C$4,"",I272-J272))</f>
        <v/>
      </c>
      <c r="J273" s="130" t="str">
        <f>IF($B272="","",IF($B272+1&gt;'Qredits maandlasten'!$C$4,"",IF(B272&lt;'Qredits maandlasten'!$C$11-1,0,IF('Qredits maandlasten'!$C$10=dropdowns!$A$93,'Qredits maandlasten'!$J$3,IF('Qredits maandlasten'!$C$10=dropdowns!$A$92,IFERROR('Qredits maandlasten'!$J$3-K273,0),0)))))</f>
        <v/>
      </c>
      <c r="K273" s="130" t="str">
        <f>IF($B272="","",IF($B272+1&gt;'Qredits maandlasten'!$C$4,"",G273*I273*'Qredits maandlasten'!$C$8))</f>
        <v/>
      </c>
      <c r="L273" s="130" t="str">
        <f t="shared" si="22"/>
        <v/>
      </c>
      <c r="M273" s="130" t="str">
        <f t="shared" si="20"/>
        <v/>
      </c>
      <c r="N273" s="129"/>
      <c r="O273" s="131" t="str">
        <f>IF($B273="","",'Qredits maandlasten'!$C$8)</f>
        <v/>
      </c>
      <c r="P273" s="131" t="str">
        <f>IF($B273="","",'Qredits maandlasten'!$C$8*(POWER(1+'Qredits maandlasten'!$C$8,$B273-1+1)))</f>
        <v/>
      </c>
      <c r="Q273" s="131" t="str">
        <f t="shared" si="23"/>
        <v/>
      </c>
      <c r="R273" s="129"/>
      <c r="S273" s="130" t="str">
        <f t="shared" si="21"/>
        <v/>
      </c>
      <c r="T273" s="130" t="str">
        <f>IF(S273="","",J273/(POWER(1+'Qredits maandlasten'!$C$8,$B273-1+1)))</f>
        <v/>
      </c>
      <c r="U273" s="132" t="str">
        <f t="shared" si="24"/>
        <v/>
      </c>
      <c r="V273" s="130" t="str">
        <f>IF($B273="","",K273/(POWER(1+'Qredits maandlasten'!$C$8,$B273-1+1)))</f>
        <v/>
      </c>
      <c r="W273" s="129"/>
    </row>
    <row r="274" spans="1:23" s="134" customFormat="1" x14ac:dyDescent="0.2">
      <c r="A274" s="125"/>
      <c r="B274" s="126" t="str">
        <f>IF($B273="","",IF($B273+1&gt;'Qredits maandlasten'!$C$4,"",Schema!B273+1))</f>
        <v/>
      </c>
      <c r="C274" s="127" t="str">
        <f>IF($B273="","",IF($B273+1&gt;'Qredits maandlasten'!$C$4,"",EOMONTH(C273,0)+1))</f>
        <v/>
      </c>
      <c r="D274" s="125"/>
      <c r="E274" s="127" t="str">
        <f>IF($B273="","",IF($B273+1&gt;'Qredits maandlasten'!$C$4,"",F273+1))</f>
        <v/>
      </c>
      <c r="F274" s="127" t="str">
        <f>IF($B273="","",IF($B273+1&gt;'Qredits maandlasten'!$C$4,"",EOMONTH(E274,0)))</f>
        <v/>
      </c>
      <c r="G274" s="128" t="str">
        <f>IF($B273="","",IF($B273+1&gt;'Qredits maandlasten'!$C$4,"",(_xlfn.DAYS(F274,E274)+1)/DAY(F274)))</f>
        <v/>
      </c>
      <c r="H274" s="129"/>
      <c r="I274" s="130" t="str">
        <f>IF($B273="","",IF($B273+1&gt;'Qredits maandlasten'!$C$4,"",I273-J273))</f>
        <v/>
      </c>
      <c r="J274" s="130" t="str">
        <f>IF($B273="","",IF($B273+1&gt;'Qredits maandlasten'!$C$4,"",IF(B273&lt;'Qredits maandlasten'!$C$11-1,0,IF('Qredits maandlasten'!$C$10=dropdowns!$A$93,'Qredits maandlasten'!$J$3,IF('Qredits maandlasten'!$C$10=dropdowns!$A$92,IFERROR('Qredits maandlasten'!$J$3-K274,0),0)))))</f>
        <v/>
      </c>
      <c r="K274" s="130" t="str">
        <f>IF($B273="","",IF($B273+1&gt;'Qredits maandlasten'!$C$4,"",G274*I274*'Qredits maandlasten'!$C$8))</f>
        <v/>
      </c>
      <c r="L274" s="130" t="str">
        <f t="shared" si="22"/>
        <v/>
      </c>
      <c r="M274" s="130" t="str">
        <f t="shared" si="20"/>
        <v/>
      </c>
      <c r="N274" s="129"/>
      <c r="O274" s="131" t="str">
        <f>IF($B274="","",'Qredits maandlasten'!$C$8)</f>
        <v/>
      </c>
      <c r="P274" s="131" t="str">
        <f>IF($B274="","",'Qredits maandlasten'!$C$8*(POWER(1+'Qredits maandlasten'!$C$8,$B274-1+1)))</f>
        <v/>
      </c>
      <c r="Q274" s="131" t="str">
        <f t="shared" si="23"/>
        <v/>
      </c>
      <c r="R274" s="129"/>
      <c r="S274" s="130" t="str">
        <f t="shared" si="21"/>
        <v/>
      </c>
      <c r="T274" s="130" t="str">
        <f>IF(S274="","",J274/(POWER(1+'Qredits maandlasten'!$C$8,$B274-1+1)))</f>
        <v/>
      </c>
      <c r="U274" s="132" t="str">
        <f t="shared" si="24"/>
        <v/>
      </c>
      <c r="V274" s="130" t="str">
        <f>IF($B274="","",K274/(POWER(1+'Qredits maandlasten'!$C$8,$B274-1+1)))</f>
        <v/>
      </c>
      <c r="W274" s="129"/>
    </row>
    <row r="275" spans="1:23" s="134" customFormat="1" x14ac:dyDescent="0.2">
      <c r="A275" s="125"/>
      <c r="B275" s="126" t="str">
        <f>IF($B274="","",IF($B274+1&gt;'Qredits maandlasten'!$C$4,"",Schema!B274+1))</f>
        <v/>
      </c>
      <c r="C275" s="127" t="str">
        <f>IF($B274="","",IF($B274+1&gt;'Qredits maandlasten'!$C$4,"",EOMONTH(C274,0)+1))</f>
        <v/>
      </c>
      <c r="D275" s="125"/>
      <c r="E275" s="127" t="str">
        <f>IF($B274="","",IF($B274+1&gt;'Qredits maandlasten'!$C$4,"",F274+1))</f>
        <v/>
      </c>
      <c r="F275" s="127" t="str">
        <f>IF($B274="","",IF($B274+1&gt;'Qredits maandlasten'!$C$4,"",EOMONTH(E275,0)))</f>
        <v/>
      </c>
      <c r="G275" s="128" t="str">
        <f>IF($B274="","",IF($B274+1&gt;'Qredits maandlasten'!$C$4,"",(_xlfn.DAYS(F275,E275)+1)/DAY(F275)))</f>
        <v/>
      </c>
      <c r="H275" s="129"/>
      <c r="I275" s="130" t="str">
        <f>IF($B274="","",IF($B274+1&gt;'Qredits maandlasten'!$C$4,"",I274-J274))</f>
        <v/>
      </c>
      <c r="J275" s="130" t="str">
        <f>IF($B274="","",IF($B274+1&gt;'Qredits maandlasten'!$C$4,"",IF(B274&lt;'Qredits maandlasten'!$C$11-1,0,IF('Qredits maandlasten'!$C$10=dropdowns!$A$93,'Qredits maandlasten'!$J$3,IF('Qredits maandlasten'!$C$10=dropdowns!$A$92,IFERROR('Qredits maandlasten'!$J$3-K275,0),0)))))</f>
        <v/>
      </c>
      <c r="K275" s="130" t="str">
        <f>IF($B274="","",IF($B274+1&gt;'Qredits maandlasten'!$C$4,"",G275*I275*'Qredits maandlasten'!$C$8))</f>
        <v/>
      </c>
      <c r="L275" s="130" t="str">
        <f t="shared" si="22"/>
        <v/>
      </c>
      <c r="M275" s="130" t="str">
        <f t="shared" si="20"/>
        <v/>
      </c>
      <c r="N275" s="129"/>
      <c r="O275" s="131" t="str">
        <f>IF($B275="","",'Qredits maandlasten'!$C$8)</f>
        <v/>
      </c>
      <c r="P275" s="131" t="str">
        <f>IF($B275="","",'Qredits maandlasten'!$C$8*(POWER(1+'Qredits maandlasten'!$C$8,$B275-1+1)))</f>
        <v/>
      </c>
      <c r="Q275" s="131" t="str">
        <f t="shared" si="23"/>
        <v/>
      </c>
      <c r="R275" s="129"/>
      <c r="S275" s="130" t="str">
        <f t="shared" si="21"/>
        <v/>
      </c>
      <c r="T275" s="130" t="str">
        <f>IF(S275="","",J275/(POWER(1+'Qredits maandlasten'!$C$8,$B275-1+1)))</f>
        <v/>
      </c>
      <c r="U275" s="132" t="str">
        <f t="shared" si="24"/>
        <v/>
      </c>
      <c r="V275" s="130" t="str">
        <f>IF($B275="","",K275/(POWER(1+'Qredits maandlasten'!$C$8,$B275-1+1)))</f>
        <v/>
      </c>
      <c r="W275" s="129"/>
    </row>
    <row r="276" spans="1:23" s="134" customFormat="1" x14ac:dyDescent="0.2">
      <c r="A276" s="125"/>
      <c r="B276" s="126" t="str">
        <f>IF($B275="","",IF($B275+1&gt;'Qredits maandlasten'!$C$4,"",Schema!B275+1))</f>
        <v/>
      </c>
      <c r="C276" s="127" t="str">
        <f>IF($B275="","",IF($B275+1&gt;'Qredits maandlasten'!$C$4,"",EOMONTH(C275,0)+1))</f>
        <v/>
      </c>
      <c r="D276" s="125"/>
      <c r="E276" s="127" t="str">
        <f>IF($B275="","",IF($B275+1&gt;'Qredits maandlasten'!$C$4,"",F275+1))</f>
        <v/>
      </c>
      <c r="F276" s="127" t="str">
        <f>IF($B275="","",IF($B275+1&gt;'Qredits maandlasten'!$C$4,"",EOMONTH(E276,0)))</f>
        <v/>
      </c>
      <c r="G276" s="128" t="str">
        <f>IF($B275="","",IF($B275+1&gt;'Qredits maandlasten'!$C$4,"",(_xlfn.DAYS(F276,E276)+1)/DAY(F276)))</f>
        <v/>
      </c>
      <c r="H276" s="129"/>
      <c r="I276" s="130" t="str">
        <f>IF($B275="","",IF($B275+1&gt;'Qredits maandlasten'!$C$4,"",I275-J275))</f>
        <v/>
      </c>
      <c r="J276" s="130" t="str">
        <f>IF($B275="","",IF($B275+1&gt;'Qredits maandlasten'!$C$4,"",IF(B275&lt;'Qredits maandlasten'!$C$11-1,0,IF('Qredits maandlasten'!$C$10=dropdowns!$A$93,'Qredits maandlasten'!$J$3,IF('Qredits maandlasten'!$C$10=dropdowns!$A$92,IFERROR('Qredits maandlasten'!$J$3-K276,0),0)))))</f>
        <v/>
      </c>
      <c r="K276" s="130" t="str">
        <f>IF($B275="","",IF($B275+1&gt;'Qredits maandlasten'!$C$4,"",G276*I276*'Qredits maandlasten'!$C$8))</f>
        <v/>
      </c>
      <c r="L276" s="130" t="str">
        <f t="shared" si="22"/>
        <v/>
      </c>
      <c r="M276" s="130" t="str">
        <f t="shared" si="20"/>
        <v/>
      </c>
      <c r="N276" s="129"/>
      <c r="O276" s="131" t="str">
        <f>IF($B276="","",'Qredits maandlasten'!$C$8)</f>
        <v/>
      </c>
      <c r="P276" s="131" t="str">
        <f>IF($B276="","",'Qredits maandlasten'!$C$8*(POWER(1+'Qredits maandlasten'!$C$8,$B276-1+1)))</f>
        <v/>
      </c>
      <c r="Q276" s="131" t="str">
        <f t="shared" si="23"/>
        <v/>
      </c>
      <c r="R276" s="129"/>
      <c r="S276" s="130" t="str">
        <f t="shared" si="21"/>
        <v/>
      </c>
      <c r="T276" s="130" t="str">
        <f>IF(S276="","",J276/(POWER(1+'Qredits maandlasten'!$C$8,$B276-1+1)))</f>
        <v/>
      </c>
      <c r="U276" s="132" t="str">
        <f t="shared" si="24"/>
        <v/>
      </c>
      <c r="V276" s="130" t="str">
        <f>IF($B276="","",K276/(POWER(1+'Qredits maandlasten'!$C$8,$B276-1+1)))</f>
        <v/>
      </c>
      <c r="W276" s="129"/>
    </row>
    <row r="277" spans="1:23" s="134" customFormat="1" x14ac:dyDescent="0.2">
      <c r="A277" s="125"/>
      <c r="B277" s="126" t="str">
        <f>IF($B276="","",IF($B276+1&gt;'Qredits maandlasten'!$C$4,"",Schema!B276+1))</f>
        <v/>
      </c>
      <c r="C277" s="127" t="str">
        <f>IF($B276="","",IF($B276+1&gt;'Qredits maandlasten'!$C$4,"",EOMONTH(C276,0)+1))</f>
        <v/>
      </c>
      <c r="D277" s="125"/>
      <c r="E277" s="127" t="str">
        <f>IF($B276="","",IF($B276+1&gt;'Qredits maandlasten'!$C$4,"",F276+1))</f>
        <v/>
      </c>
      <c r="F277" s="127" t="str">
        <f>IF($B276="","",IF($B276+1&gt;'Qredits maandlasten'!$C$4,"",EOMONTH(E277,0)))</f>
        <v/>
      </c>
      <c r="G277" s="128" t="str">
        <f>IF($B276="","",IF($B276+1&gt;'Qredits maandlasten'!$C$4,"",(_xlfn.DAYS(F277,E277)+1)/DAY(F277)))</f>
        <v/>
      </c>
      <c r="H277" s="129"/>
      <c r="I277" s="130" t="str">
        <f>IF($B276="","",IF($B276+1&gt;'Qredits maandlasten'!$C$4,"",I276-J276))</f>
        <v/>
      </c>
      <c r="J277" s="130" t="str">
        <f>IF($B276="","",IF($B276+1&gt;'Qredits maandlasten'!$C$4,"",IF(B276&lt;'Qredits maandlasten'!$C$11-1,0,IF('Qredits maandlasten'!$C$10=dropdowns!$A$93,'Qredits maandlasten'!$J$3,IF('Qredits maandlasten'!$C$10=dropdowns!$A$92,IFERROR('Qredits maandlasten'!$J$3-K277,0),0)))))</f>
        <v/>
      </c>
      <c r="K277" s="130" t="str">
        <f>IF($B276="","",IF($B276+1&gt;'Qredits maandlasten'!$C$4,"",G277*I277*'Qredits maandlasten'!$C$8))</f>
        <v/>
      </c>
      <c r="L277" s="130" t="str">
        <f t="shared" si="22"/>
        <v/>
      </c>
      <c r="M277" s="130" t="str">
        <f t="shared" si="20"/>
        <v/>
      </c>
      <c r="N277" s="129"/>
      <c r="O277" s="131" t="str">
        <f>IF($B277="","",'Qredits maandlasten'!$C$8)</f>
        <v/>
      </c>
      <c r="P277" s="131" t="str">
        <f>IF($B277="","",'Qredits maandlasten'!$C$8*(POWER(1+'Qredits maandlasten'!$C$8,$B277-1+1)))</f>
        <v/>
      </c>
      <c r="Q277" s="131" t="str">
        <f t="shared" si="23"/>
        <v/>
      </c>
      <c r="R277" s="129"/>
      <c r="S277" s="130" t="str">
        <f t="shared" si="21"/>
        <v/>
      </c>
      <c r="T277" s="130" t="str">
        <f>IF(S277="","",J277/(POWER(1+'Qredits maandlasten'!$C$8,$B277-1+1)))</f>
        <v/>
      </c>
      <c r="U277" s="132" t="str">
        <f t="shared" si="24"/>
        <v/>
      </c>
      <c r="V277" s="130" t="str">
        <f>IF($B277="","",K277/(POWER(1+'Qredits maandlasten'!$C$8,$B277-1+1)))</f>
        <v/>
      </c>
      <c r="W277" s="129"/>
    </row>
    <row r="278" spans="1:23" s="134" customFormat="1" x14ac:dyDescent="0.2">
      <c r="A278" s="125"/>
      <c r="B278" s="126" t="str">
        <f>IF($B277="","",IF($B277+1&gt;'Qredits maandlasten'!$C$4,"",Schema!B277+1))</f>
        <v/>
      </c>
      <c r="C278" s="127" t="str">
        <f>IF($B277="","",IF($B277+1&gt;'Qredits maandlasten'!$C$4,"",EOMONTH(C277,0)+1))</f>
        <v/>
      </c>
      <c r="D278" s="125"/>
      <c r="E278" s="127" t="str">
        <f>IF($B277="","",IF($B277+1&gt;'Qredits maandlasten'!$C$4,"",F277+1))</f>
        <v/>
      </c>
      <c r="F278" s="127" t="str">
        <f>IF($B277="","",IF($B277+1&gt;'Qredits maandlasten'!$C$4,"",EOMONTH(E278,0)))</f>
        <v/>
      </c>
      <c r="G278" s="128" t="str">
        <f>IF($B277="","",IF($B277+1&gt;'Qredits maandlasten'!$C$4,"",(_xlfn.DAYS(F278,E278)+1)/DAY(F278)))</f>
        <v/>
      </c>
      <c r="H278" s="129"/>
      <c r="I278" s="130" t="str">
        <f>IF($B277="","",IF($B277+1&gt;'Qredits maandlasten'!$C$4,"",I277-J277))</f>
        <v/>
      </c>
      <c r="J278" s="130" t="str">
        <f>IF($B277="","",IF($B277+1&gt;'Qredits maandlasten'!$C$4,"",IF(B277&lt;'Qredits maandlasten'!$C$11-1,0,IF('Qredits maandlasten'!$C$10=dropdowns!$A$93,'Qredits maandlasten'!$J$3,IF('Qredits maandlasten'!$C$10=dropdowns!$A$92,IFERROR('Qredits maandlasten'!$J$3-K278,0),0)))))</f>
        <v/>
      </c>
      <c r="K278" s="130" t="str">
        <f>IF($B277="","",IF($B277+1&gt;'Qredits maandlasten'!$C$4,"",G278*I278*'Qredits maandlasten'!$C$8))</f>
        <v/>
      </c>
      <c r="L278" s="130" t="str">
        <f t="shared" si="22"/>
        <v/>
      </c>
      <c r="M278" s="130" t="str">
        <f t="shared" si="20"/>
        <v/>
      </c>
      <c r="N278" s="129"/>
      <c r="O278" s="131" t="str">
        <f>IF($B278="","",'Qredits maandlasten'!$C$8)</f>
        <v/>
      </c>
      <c r="P278" s="131" t="str">
        <f>IF($B278="","",'Qredits maandlasten'!$C$8*(POWER(1+'Qredits maandlasten'!$C$8,$B278-1+1)))</f>
        <v/>
      </c>
      <c r="Q278" s="131" t="str">
        <f t="shared" si="23"/>
        <v/>
      </c>
      <c r="R278" s="129"/>
      <c r="S278" s="130" t="str">
        <f t="shared" si="21"/>
        <v/>
      </c>
      <c r="T278" s="130" t="str">
        <f>IF(S278="","",J278/(POWER(1+'Qredits maandlasten'!$C$8,$B278-1+1)))</f>
        <v/>
      </c>
      <c r="U278" s="132" t="str">
        <f t="shared" si="24"/>
        <v/>
      </c>
      <c r="V278" s="130" t="str">
        <f>IF($B278="","",K278/(POWER(1+'Qredits maandlasten'!$C$8,$B278-1+1)))</f>
        <v/>
      </c>
      <c r="W278" s="129"/>
    </row>
    <row r="279" spans="1:23" s="134" customFormat="1" x14ac:dyDescent="0.2">
      <c r="A279" s="125"/>
      <c r="B279" s="126" t="str">
        <f>IF($B278="","",IF($B278+1&gt;'Qredits maandlasten'!$C$4,"",Schema!B278+1))</f>
        <v/>
      </c>
      <c r="C279" s="127" t="str">
        <f>IF($B278="","",IF($B278+1&gt;'Qredits maandlasten'!$C$4,"",EOMONTH(C278,0)+1))</f>
        <v/>
      </c>
      <c r="D279" s="125"/>
      <c r="E279" s="127" t="str">
        <f>IF($B278="","",IF($B278+1&gt;'Qredits maandlasten'!$C$4,"",F278+1))</f>
        <v/>
      </c>
      <c r="F279" s="127" t="str">
        <f>IF($B278="","",IF($B278+1&gt;'Qredits maandlasten'!$C$4,"",EOMONTH(E279,0)))</f>
        <v/>
      </c>
      <c r="G279" s="128" t="str">
        <f>IF($B278="","",IF($B278+1&gt;'Qredits maandlasten'!$C$4,"",(_xlfn.DAYS(F279,E279)+1)/DAY(F279)))</f>
        <v/>
      </c>
      <c r="H279" s="129"/>
      <c r="I279" s="130" t="str">
        <f>IF($B278="","",IF($B278+1&gt;'Qredits maandlasten'!$C$4,"",I278-J278))</f>
        <v/>
      </c>
      <c r="J279" s="130" t="str">
        <f>IF($B278="","",IF($B278+1&gt;'Qredits maandlasten'!$C$4,"",IF(B278&lt;'Qredits maandlasten'!$C$11-1,0,IF('Qredits maandlasten'!$C$10=dropdowns!$A$93,'Qredits maandlasten'!$J$3,IF('Qredits maandlasten'!$C$10=dropdowns!$A$92,IFERROR('Qredits maandlasten'!$J$3-K279,0),0)))))</f>
        <v/>
      </c>
      <c r="K279" s="130" t="str">
        <f>IF($B278="","",IF($B278+1&gt;'Qredits maandlasten'!$C$4,"",G279*I279*'Qredits maandlasten'!$C$8))</f>
        <v/>
      </c>
      <c r="L279" s="130" t="str">
        <f t="shared" si="22"/>
        <v/>
      </c>
      <c r="M279" s="130" t="str">
        <f t="shared" si="20"/>
        <v/>
      </c>
      <c r="N279" s="129"/>
      <c r="O279" s="131" t="str">
        <f>IF($B279="","",'Qredits maandlasten'!$C$8)</f>
        <v/>
      </c>
      <c r="P279" s="131" t="str">
        <f>IF($B279="","",'Qredits maandlasten'!$C$8*(POWER(1+'Qredits maandlasten'!$C$8,$B279-1+1)))</f>
        <v/>
      </c>
      <c r="Q279" s="131" t="str">
        <f t="shared" si="23"/>
        <v/>
      </c>
      <c r="R279" s="129"/>
      <c r="S279" s="130" t="str">
        <f t="shared" si="21"/>
        <v/>
      </c>
      <c r="T279" s="130" t="str">
        <f>IF(S279="","",J279/(POWER(1+'Qredits maandlasten'!$C$8,$B279-1+1)))</f>
        <v/>
      </c>
      <c r="U279" s="132" t="str">
        <f t="shared" si="24"/>
        <v/>
      </c>
      <c r="V279" s="130" t="str">
        <f>IF($B279="","",K279/(POWER(1+'Qredits maandlasten'!$C$8,$B279-1+1)))</f>
        <v/>
      </c>
      <c r="W279" s="129"/>
    </row>
    <row r="280" spans="1:23" s="134" customFormat="1" x14ac:dyDescent="0.2">
      <c r="A280" s="125"/>
      <c r="B280" s="126" t="str">
        <f>IF($B279="","",IF($B279+1&gt;'Qredits maandlasten'!$C$4,"",Schema!B279+1))</f>
        <v/>
      </c>
      <c r="C280" s="127" t="str">
        <f>IF($B279="","",IF($B279+1&gt;'Qredits maandlasten'!$C$4,"",EOMONTH(C279,0)+1))</f>
        <v/>
      </c>
      <c r="D280" s="125"/>
      <c r="E280" s="127" t="str">
        <f>IF($B279="","",IF($B279+1&gt;'Qredits maandlasten'!$C$4,"",F279+1))</f>
        <v/>
      </c>
      <c r="F280" s="127" t="str">
        <f>IF($B279="","",IF($B279+1&gt;'Qredits maandlasten'!$C$4,"",EOMONTH(E280,0)))</f>
        <v/>
      </c>
      <c r="G280" s="128" t="str">
        <f>IF($B279="","",IF($B279+1&gt;'Qredits maandlasten'!$C$4,"",(_xlfn.DAYS(F280,E280)+1)/DAY(F280)))</f>
        <v/>
      </c>
      <c r="H280" s="129"/>
      <c r="I280" s="130" t="str">
        <f>IF($B279="","",IF($B279+1&gt;'Qredits maandlasten'!$C$4,"",I279-J279))</f>
        <v/>
      </c>
      <c r="J280" s="130" t="str">
        <f>IF($B279="","",IF($B279+1&gt;'Qredits maandlasten'!$C$4,"",IF(B279&lt;'Qredits maandlasten'!$C$11-1,0,IF('Qredits maandlasten'!$C$10=dropdowns!$A$93,'Qredits maandlasten'!$J$3,IF('Qredits maandlasten'!$C$10=dropdowns!$A$92,IFERROR('Qredits maandlasten'!$J$3-K280,0),0)))))</f>
        <v/>
      </c>
      <c r="K280" s="130" t="str">
        <f>IF($B279="","",IF($B279+1&gt;'Qredits maandlasten'!$C$4,"",G280*I280*'Qredits maandlasten'!$C$8))</f>
        <v/>
      </c>
      <c r="L280" s="130" t="str">
        <f t="shared" si="22"/>
        <v/>
      </c>
      <c r="M280" s="130" t="str">
        <f t="shared" si="20"/>
        <v/>
      </c>
      <c r="N280" s="129"/>
      <c r="O280" s="131" t="str">
        <f>IF($B280="","",'Qredits maandlasten'!$C$8)</f>
        <v/>
      </c>
      <c r="P280" s="131" t="str">
        <f>IF($B280="","",'Qredits maandlasten'!$C$8*(POWER(1+'Qredits maandlasten'!$C$8,$B280-1+1)))</f>
        <v/>
      </c>
      <c r="Q280" s="131" t="str">
        <f t="shared" si="23"/>
        <v/>
      </c>
      <c r="R280" s="129"/>
      <c r="S280" s="130" t="str">
        <f t="shared" si="21"/>
        <v/>
      </c>
      <c r="T280" s="130" t="str">
        <f>IF(S280="","",J280/(POWER(1+'Qredits maandlasten'!$C$8,$B280-1+1)))</f>
        <v/>
      </c>
      <c r="U280" s="132" t="str">
        <f t="shared" si="24"/>
        <v/>
      </c>
      <c r="V280" s="130" t="str">
        <f>IF($B280="","",K280/(POWER(1+'Qredits maandlasten'!$C$8,$B280-1+1)))</f>
        <v/>
      </c>
      <c r="W280" s="129"/>
    </row>
    <row r="281" spans="1:23" s="134" customFormat="1" x14ac:dyDescent="0.2">
      <c r="A281" s="125"/>
      <c r="B281" s="126" t="str">
        <f>IF($B280="","",IF($B280+1&gt;'Qredits maandlasten'!$C$4,"",Schema!B280+1))</f>
        <v/>
      </c>
      <c r="C281" s="127" t="str">
        <f>IF($B280="","",IF($B280+1&gt;'Qredits maandlasten'!$C$4,"",EOMONTH(C280,0)+1))</f>
        <v/>
      </c>
      <c r="D281" s="125"/>
      <c r="E281" s="127" t="str">
        <f>IF($B280="","",IF($B280+1&gt;'Qredits maandlasten'!$C$4,"",F280+1))</f>
        <v/>
      </c>
      <c r="F281" s="127" t="str">
        <f>IF($B280="","",IF($B280+1&gt;'Qredits maandlasten'!$C$4,"",EOMONTH(E281,0)))</f>
        <v/>
      </c>
      <c r="G281" s="128" t="str">
        <f>IF($B280="","",IF($B280+1&gt;'Qredits maandlasten'!$C$4,"",(_xlfn.DAYS(F281,E281)+1)/DAY(F281)))</f>
        <v/>
      </c>
      <c r="H281" s="129"/>
      <c r="I281" s="130" t="str">
        <f>IF($B280="","",IF($B280+1&gt;'Qredits maandlasten'!$C$4,"",I280-J280))</f>
        <v/>
      </c>
      <c r="J281" s="130" t="str">
        <f>IF($B280="","",IF($B280+1&gt;'Qredits maandlasten'!$C$4,"",IF(B280&lt;'Qredits maandlasten'!$C$11-1,0,IF('Qredits maandlasten'!$C$10=dropdowns!$A$93,'Qredits maandlasten'!$J$3,IF('Qredits maandlasten'!$C$10=dropdowns!$A$92,IFERROR('Qredits maandlasten'!$J$3-K281,0),0)))))</f>
        <v/>
      </c>
      <c r="K281" s="130" t="str">
        <f>IF($B280="","",IF($B280+1&gt;'Qredits maandlasten'!$C$4,"",G281*I281*'Qredits maandlasten'!$C$8))</f>
        <v/>
      </c>
      <c r="L281" s="130" t="str">
        <f t="shared" si="22"/>
        <v/>
      </c>
      <c r="M281" s="130" t="str">
        <f t="shared" si="20"/>
        <v/>
      </c>
      <c r="N281" s="129"/>
      <c r="O281" s="131" t="str">
        <f>IF($B281="","",'Qredits maandlasten'!$C$8)</f>
        <v/>
      </c>
      <c r="P281" s="131" t="str">
        <f>IF($B281="","",'Qredits maandlasten'!$C$8*(POWER(1+'Qredits maandlasten'!$C$8,$B281-1+1)))</f>
        <v/>
      </c>
      <c r="Q281" s="131" t="str">
        <f t="shared" si="23"/>
        <v/>
      </c>
      <c r="R281" s="129"/>
      <c r="S281" s="130" t="str">
        <f t="shared" si="21"/>
        <v/>
      </c>
      <c r="T281" s="130" t="str">
        <f>IF(S281="","",J281/(POWER(1+'Qredits maandlasten'!$C$8,$B281-1+1)))</f>
        <v/>
      </c>
      <c r="U281" s="132" t="str">
        <f t="shared" si="24"/>
        <v/>
      </c>
      <c r="V281" s="130" t="str">
        <f>IF($B281="","",K281/(POWER(1+'Qredits maandlasten'!$C$8,$B281-1+1)))</f>
        <v/>
      </c>
      <c r="W281" s="129"/>
    </row>
    <row r="282" spans="1:23" s="134" customFormat="1" x14ac:dyDescent="0.2">
      <c r="A282" s="125"/>
      <c r="B282" s="126" t="str">
        <f>IF($B281="","",IF($B281+1&gt;'Qredits maandlasten'!$C$4,"",Schema!B281+1))</f>
        <v/>
      </c>
      <c r="C282" s="127" t="str">
        <f>IF($B281="","",IF($B281+1&gt;'Qredits maandlasten'!$C$4,"",EOMONTH(C281,0)+1))</f>
        <v/>
      </c>
      <c r="D282" s="125"/>
      <c r="E282" s="127" t="str">
        <f>IF($B281="","",IF($B281+1&gt;'Qredits maandlasten'!$C$4,"",F281+1))</f>
        <v/>
      </c>
      <c r="F282" s="127" t="str">
        <f>IF($B281="","",IF($B281+1&gt;'Qredits maandlasten'!$C$4,"",EOMONTH(E282,0)))</f>
        <v/>
      </c>
      <c r="G282" s="128" t="str">
        <f>IF($B281="","",IF($B281+1&gt;'Qredits maandlasten'!$C$4,"",(_xlfn.DAYS(F282,E282)+1)/DAY(F282)))</f>
        <v/>
      </c>
      <c r="H282" s="129"/>
      <c r="I282" s="130" t="str">
        <f>IF($B281="","",IF($B281+1&gt;'Qredits maandlasten'!$C$4,"",I281-J281))</f>
        <v/>
      </c>
      <c r="J282" s="130" t="str">
        <f>IF($B281="","",IF($B281+1&gt;'Qredits maandlasten'!$C$4,"",IF(B281&lt;'Qredits maandlasten'!$C$11-1,0,IF('Qredits maandlasten'!$C$10=dropdowns!$A$93,'Qredits maandlasten'!$J$3,IF('Qredits maandlasten'!$C$10=dropdowns!$A$92,IFERROR('Qredits maandlasten'!$J$3-K282,0),0)))))</f>
        <v/>
      </c>
      <c r="K282" s="130" t="str">
        <f>IF($B281="","",IF($B281+1&gt;'Qredits maandlasten'!$C$4,"",G282*I282*'Qredits maandlasten'!$C$8))</f>
        <v/>
      </c>
      <c r="L282" s="130" t="str">
        <f t="shared" si="22"/>
        <v/>
      </c>
      <c r="M282" s="130" t="str">
        <f t="shared" si="20"/>
        <v/>
      </c>
      <c r="N282" s="129"/>
      <c r="O282" s="131" t="str">
        <f>IF($B282="","",'Qredits maandlasten'!$C$8)</f>
        <v/>
      </c>
      <c r="P282" s="131" t="str">
        <f>IF($B282="","",'Qredits maandlasten'!$C$8*(POWER(1+'Qredits maandlasten'!$C$8,$B282-1+1)))</f>
        <v/>
      </c>
      <c r="Q282" s="131" t="str">
        <f t="shared" si="23"/>
        <v/>
      </c>
      <c r="R282" s="129"/>
      <c r="S282" s="130" t="str">
        <f t="shared" si="21"/>
        <v/>
      </c>
      <c r="T282" s="130" t="str">
        <f>IF(S282="","",J282/(POWER(1+'Qredits maandlasten'!$C$8,$B282-1+1)))</f>
        <v/>
      </c>
      <c r="U282" s="132" t="str">
        <f t="shared" si="24"/>
        <v/>
      </c>
      <c r="V282" s="130" t="str">
        <f>IF($B282="","",K282/(POWER(1+'Qredits maandlasten'!$C$8,$B282-1+1)))</f>
        <v/>
      </c>
      <c r="W282" s="129"/>
    </row>
    <row r="283" spans="1:23" s="134" customFormat="1" x14ac:dyDescent="0.2">
      <c r="A283" s="125"/>
      <c r="B283" s="126" t="str">
        <f>IF($B282="","",IF($B282+1&gt;'Qredits maandlasten'!$C$4,"",Schema!B282+1))</f>
        <v/>
      </c>
      <c r="C283" s="127" t="str">
        <f>IF($B282="","",IF($B282+1&gt;'Qredits maandlasten'!$C$4,"",EOMONTH(C282,0)+1))</f>
        <v/>
      </c>
      <c r="D283" s="125"/>
      <c r="E283" s="127" t="str">
        <f>IF($B282="","",IF($B282+1&gt;'Qredits maandlasten'!$C$4,"",F282+1))</f>
        <v/>
      </c>
      <c r="F283" s="127" t="str">
        <f>IF($B282="","",IF($B282+1&gt;'Qredits maandlasten'!$C$4,"",EOMONTH(E283,0)))</f>
        <v/>
      </c>
      <c r="G283" s="128" t="str">
        <f>IF($B282="","",IF($B282+1&gt;'Qredits maandlasten'!$C$4,"",(_xlfn.DAYS(F283,E283)+1)/DAY(F283)))</f>
        <v/>
      </c>
      <c r="H283" s="129"/>
      <c r="I283" s="130" t="str">
        <f>IF($B282="","",IF($B282+1&gt;'Qredits maandlasten'!$C$4,"",I282-J282))</f>
        <v/>
      </c>
      <c r="J283" s="130" t="str">
        <f>IF($B282="","",IF($B282+1&gt;'Qredits maandlasten'!$C$4,"",IF(B282&lt;'Qredits maandlasten'!$C$11-1,0,IF('Qredits maandlasten'!$C$10=dropdowns!$A$93,'Qredits maandlasten'!$J$3,IF('Qredits maandlasten'!$C$10=dropdowns!$A$92,IFERROR('Qredits maandlasten'!$J$3-K283,0),0)))))</f>
        <v/>
      </c>
      <c r="K283" s="130" t="str">
        <f>IF($B282="","",IF($B282+1&gt;'Qredits maandlasten'!$C$4,"",G283*I283*'Qredits maandlasten'!$C$8))</f>
        <v/>
      </c>
      <c r="L283" s="130" t="str">
        <f t="shared" si="22"/>
        <v/>
      </c>
      <c r="M283" s="130" t="str">
        <f t="shared" si="20"/>
        <v/>
      </c>
      <c r="N283" s="129"/>
      <c r="O283" s="131" t="str">
        <f>IF($B283="","",'Qredits maandlasten'!$C$8)</f>
        <v/>
      </c>
      <c r="P283" s="131" t="str">
        <f>IF($B283="","",'Qredits maandlasten'!$C$8*(POWER(1+'Qredits maandlasten'!$C$8,$B283-1+1)))</f>
        <v/>
      </c>
      <c r="Q283" s="131" t="str">
        <f t="shared" si="23"/>
        <v/>
      </c>
      <c r="R283" s="129"/>
      <c r="S283" s="130" t="str">
        <f t="shared" si="21"/>
        <v/>
      </c>
      <c r="T283" s="130" t="str">
        <f>IF(S283="","",J283/(POWER(1+'Qredits maandlasten'!$C$8,$B283-1+1)))</f>
        <v/>
      </c>
      <c r="U283" s="132" t="str">
        <f t="shared" si="24"/>
        <v/>
      </c>
      <c r="V283" s="130" t="str">
        <f>IF($B283="","",K283/(POWER(1+'Qredits maandlasten'!$C$8,$B283-1+1)))</f>
        <v/>
      </c>
      <c r="W283" s="129"/>
    </row>
    <row r="284" spans="1:23" s="134" customFormat="1" x14ac:dyDescent="0.2">
      <c r="A284" s="125"/>
      <c r="B284" s="126" t="str">
        <f>IF($B283="","",IF($B283+1&gt;'Qredits maandlasten'!$C$4,"",Schema!B283+1))</f>
        <v/>
      </c>
      <c r="C284" s="127" t="str">
        <f>IF($B283="","",IF($B283+1&gt;'Qredits maandlasten'!$C$4,"",EOMONTH(C283,0)+1))</f>
        <v/>
      </c>
      <c r="D284" s="125"/>
      <c r="E284" s="127" t="str">
        <f>IF($B283="","",IF($B283+1&gt;'Qredits maandlasten'!$C$4,"",F283+1))</f>
        <v/>
      </c>
      <c r="F284" s="127" t="str">
        <f>IF($B283="","",IF($B283+1&gt;'Qredits maandlasten'!$C$4,"",EOMONTH(E284,0)))</f>
        <v/>
      </c>
      <c r="G284" s="128" t="str">
        <f>IF($B283="","",IF($B283+1&gt;'Qredits maandlasten'!$C$4,"",(_xlfn.DAYS(F284,E284)+1)/DAY(F284)))</f>
        <v/>
      </c>
      <c r="H284" s="129"/>
      <c r="I284" s="130" t="str">
        <f>IF($B283="","",IF($B283+1&gt;'Qredits maandlasten'!$C$4,"",I283-J283))</f>
        <v/>
      </c>
      <c r="J284" s="130" t="str">
        <f>IF($B283="","",IF($B283+1&gt;'Qredits maandlasten'!$C$4,"",IF(B283&lt;'Qredits maandlasten'!$C$11-1,0,IF('Qredits maandlasten'!$C$10=dropdowns!$A$93,'Qredits maandlasten'!$J$3,IF('Qredits maandlasten'!$C$10=dropdowns!$A$92,IFERROR('Qredits maandlasten'!$J$3-K284,0),0)))))</f>
        <v/>
      </c>
      <c r="K284" s="130" t="str">
        <f>IF($B283="","",IF($B283+1&gt;'Qredits maandlasten'!$C$4,"",G284*I284*'Qredits maandlasten'!$C$8))</f>
        <v/>
      </c>
      <c r="L284" s="130" t="str">
        <f t="shared" si="22"/>
        <v/>
      </c>
      <c r="M284" s="130" t="str">
        <f t="shared" si="20"/>
        <v/>
      </c>
      <c r="N284" s="129"/>
      <c r="O284" s="131" t="str">
        <f>IF($B284="","",'Qredits maandlasten'!$C$8)</f>
        <v/>
      </c>
      <c r="P284" s="131" t="str">
        <f>IF($B284="","",'Qredits maandlasten'!$C$8*(POWER(1+'Qredits maandlasten'!$C$8,$B284-1+1)))</f>
        <v/>
      </c>
      <c r="Q284" s="131" t="str">
        <f t="shared" si="23"/>
        <v/>
      </c>
      <c r="R284" s="129"/>
      <c r="S284" s="130" t="str">
        <f t="shared" si="21"/>
        <v/>
      </c>
      <c r="T284" s="130" t="str">
        <f>IF(S284="","",J284/(POWER(1+'Qredits maandlasten'!$C$8,$B284-1+1)))</f>
        <v/>
      </c>
      <c r="U284" s="132" t="str">
        <f t="shared" si="24"/>
        <v/>
      </c>
      <c r="V284" s="130" t="str">
        <f>IF($B284="","",K284/(POWER(1+'Qredits maandlasten'!$C$8,$B284-1+1)))</f>
        <v/>
      </c>
      <c r="W284" s="129"/>
    </row>
    <row r="285" spans="1:23" s="134" customFormat="1" x14ac:dyDescent="0.2">
      <c r="A285" s="125"/>
      <c r="B285" s="126" t="str">
        <f>IF($B284="","",IF($B284+1&gt;'Qredits maandlasten'!$C$4,"",Schema!B284+1))</f>
        <v/>
      </c>
      <c r="C285" s="127" t="str">
        <f>IF($B284="","",IF($B284+1&gt;'Qredits maandlasten'!$C$4,"",EOMONTH(C284,0)+1))</f>
        <v/>
      </c>
      <c r="D285" s="125"/>
      <c r="E285" s="127" t="str">
        <f>IF($B284="","",IF($B284+1&gt;'Qredits maandlasten'!$C$4,"",F284+1))</f>
        <v/>
      </c>
      <c r="F285" s="127" t="str">
        <f>IF($B284="","",IF($B284+1&gt;'Qredits maandlasten'!$C$4,"",EOMONTH(E285,0)))</f>
        <v/>
      </c>
      <c r="G285" s="128" t="str">
        <f>IF($B284="","",IF($B284+1&gt;'Qredits maandlasten'!$C$4,"",(_xlfn.DAYS(F285,E285)+1)/DAY(F285)))</f>
        <v/>
      </c>
      <c r="H285" s="129"/>
      <c r="I285" s="130" t="str">
        <f>IF($B284="","",IF($B284+1&gt;'Qredits maandlasten'!$C$4,"",I284-J284))</f>
        <v/>
      </c>
      <c r="J285" s="130" t="str">
        <f>IF($B284="","",IF($B284+1&gt;'Qredits maandlasten'!$C$4,"",IF(B284&lt;'Qredits maandlasten'!$C$11-1,0,IF('Qredits maandlasten'!$C$10=dropdowns!$A$93,'Qredits maandlasten'!$J$3,IF('Qredits maandlasten'!$C$10=dropdowns!$A$92,IFERROR('Qredits maandlasten'!$J$3-K285,0),0)))))</f>
        <v/>
      </c>
      <c r="K285" s="130" t="str">
        <f>IF($B284="","",IF($B284+1&gt;'Qredits maandlasten'!$C$4,"",G285*I285*'Qredits maandlasten'!$C$8))</f>
        <v/>
      </c>
      <c r="L285" s="130" t="str">
        <f t="shared" si="22"/>
        <v/>
      </c>
      <c r="M285" s="130" t="str">
        <f t="shared" si="20"/>
        <v/>
      </c>
      <c r="N285" s="129"/>
      <c r="O285" s="131" t="str">
        <f>IF($B285="","",'Qredits maandlasten'!$C$8)</f>
        <v/>
      </c>
      <c r="P285" s="131" t="str">
        <f>IF($B285="","",'Qredits maandlasten'!$C$8*(POWER(1+'Qredits maandlasten'!$C$8,$B285-1+1)))</f>
        <v/>
      </c>
      <c r="Q285" s="131" t="str">
        <f t="shared" si="23"/>
        <v/>
      </c>
      <c r="R285" s="129"/>
      <c r="S285" s="130" t="str">
        <f t="shared" si="21"/>
        <v/>
      </c>
      <c r="T285" s="130" t="str">
        <f>IF(S285="","",J285/(POWER(1+'Qredits maandlasten'!$C$8,$B285-1+1)))</f>
        <v/>
      </c>
      <c r="U285" s="132" t="str">
        <f t="shared" si="24"/>
        <v/>
      </c>
      <c r="V285" s="130" t="str">
        <f>IF($B285="","",K285/(POWER(1+'Qredits maandlasten'!$C$8,$B285-1+1)))</f>
        <v/>
      </c>
      <c r="W285" s="129"/>
    </row>
    <row r="286" spans="1:23" s="134" customFormat="1" x14ac:dyDescent="0.2">
      <c r="A286" s="125"/>
      <c r="B286" s="126" t="str">
        <f>IF($B285="","",IF($B285+1&gt;'Qredits maandlasten'!$C$4,"",Schema!B285+1))</f>
        <v/>
      </c>
      <c r="C286" s="127" t="str">
        <f>IF($B285="","",IF($B285+1&gt;'Qredits maandlasten'!$C$4,"",EOMONTH(C285,0)+1))</f>
        <v/>
      </c>
      <c r="D286" s="125"/>
      <c r="E286" s="127" t="str">
        <f>IF($B285="","",IF($B285+1&gt;'Qredits maandlasten'!$C$4,"",F285+1))</f>
        <v/>
      </c>
      <c r="F286" s="127" t="str">
        <f>IF($B285="","",IF($B285+1&gt;'Qredits maandlasten'!$C$4,"",EOMONTH(E286,0)))</f>
        <v/>
      </c>
      <c r="G286" s="128" t="str">
        <f>IF($B285="","",IF($B285+1&gt;'Qredits maandlasten'!$C$4,"",(_xlfn.DAYS(F286,E286)+1)/DAY(F286)))</f>
        <v/>
      </c>
      <c r="H286" s="129"/>
      <c r="I286" s="130" t="str">
        <f>IF($B285="","",IF($B285+1&gt;'Qredits maandlasten'!$C$4,"",I285-J285))</f>
        <v/>
      </c>
      <c r="J286" s="130" t="str">
        <f>IF($B285="","",IF($B285+1&gt;'Qredits maandlasten'!$C$4,"",IF(B285&lt;'Qredits maandlasten'!$C$11-1,0,IF('Qredits maandlasten'!$C$10=dropdowns!$A$93,'Qredits maandlasten'!$J$3,IF('Qredits maandlasten'!$C$10=dropdowns!$A$92,IFERROR('Qredits maandlasten'!$J$3-K286,0),0)))))</f>
        <v/>
      </c>
      <c r="K286" s="130" t="str">
        <f>IF($B285="","",IF($B285+1&gt;'Qredits maandlasten'!$C$4,"",G286*I286*'Qredits maandlasten'!$C$8))</f>
        <v/>
      </c>
      <c r="L286" s="130" t="str">
        <f t="shared" si="22"/>
        <v/>
      </c>
      <c r="M286" s="130" t="str">
        <f t="shared" si="20"/>
        <v/>
      </c>
      <c r="N286" s="129"/>
      <c r="O286" s="131" t="str">
        <f>IF($B286="","",'Qredits maandlasten'!$C$8)</f>
        <v/>
      </c>
      <c r="P286" s="131" t="str">
        <f>IF($B286="","",'Qredits maandlasten'!$C$8*(POWER(1+'Qredits maandlasten'!$C$8,$B286-1+1)))</f>
        <v/>
      </c>
      <c r="Q286" s="131" t="str">
        <f t="shared" si="23"/>
        <v/>
      </c>
      <c r="R286" s="129"/>
      <c r="S286" s="130" t="str">
        <f t="shared" si="21"/>
        <v/>
      </c>
      <c r="T286" s="130" t="str">
        <f>IF(S286="","",J286/(POWER(1+'Qredits maandlasten'!$C$8,$B286-1+1)))</f>
        <v/>
      </c>
      <c r="U286" s="132" t="str">
        <f t="shared" si="24"/>
        <v/>
      </c>
      <c r="V286" s="130" t="str">
        <f>IF($B286="","",K286/(POWER(1+'Qredits maandlasten'!$C$8,$B286-1+1)))</f>
        <v/>
      </c>
      <c r="W286" s="129"/>
    </row>
    <row r="287" spans="1:23" s="134" customFormat="1" x14ac:dyDescent="0.2">
      <c r="A287" s="125"/>
      <c r="B287" s="126" t="str">
        <f>IF($B286="","",IF($B286+1&gt;'Qredits maandlasten'!$C$4,"",Schema!B286+1))</f>
        <v/>
      </c>
      <c r="C287" s="127" t="str">
        <f>IF($B286="","",IF($B286+1&gt;'Qredits maandlasten'!$C$4,"",EOMONTH(C286,0)+1))</f>
        <v/>
      </c>
      <c r="D287" s="125"/>
      <c r="E287" s="127" t="str">
        <f>IF($B286="","",IF($B286+1&gt;'Qredits maandlasten'!$C$4,"",F286+1))</f>
        <v/>
      </c>
      <c r="F287" s="127" t="str">
        <f>IF($B286="","",IF($B286+1&gt;'Qredits maandlasten'!$C$4,"",EOMONTH(E287,0)))</f>
        <v/>
      </c>
      <c r="G287" s="128" t="str">
        <f>IF($B286="","",IF($B286+1&gt;'Qredits maandlasten'!$C$4,"",(_xlfn.DAYS(F287,E287)+1)/DAY(F287)))</f>
        <v/>
      </c>
      <c r="H287" s="129"/>
      <c r="I287" s="130" t="str">
        <f>IF($B286="","",IF($B286+1&gt;'Qredits maandlasten'!$C$4,"",I286-J286))</f>
        <v/>
      </c>
      <c r="J287" s="130" t="str">
        <f>IF($B286="","",IF($B286+1&gt;'Qredits maandlasten'!$C$4,"",IF(B286&lt;'Qredits maandlasten'!$C$11-1,0,IF('Qredits maandlasten'!$C$10=dropdowns!$A$93,'Qredits maandlasten'!$J$3,IF('Qredits maandlasten'!$C$10=dropdowns!$A$92,IFERROR('Qredits maandlasten'!$J$3-K287,0),0)))))</f>
        <v/>
      </c>
      <c r="K287" s="130" t="str">
        <f>IF($B286="","",IF($B286+1&gt;'Qredits maandlasten'!$C$4,"",G287*I287*'Qredits maandlasten'!$C$8))</f>
        <v/>
      </c>
      <c r="L287" s="130" t="str">
        <f t="shared" si="22"/>
        <v/>
      </c>
      <c r="M287" s="130" t="str">
        <f t="shared" si="20"/>
        <v/>
      </c>
      <c r="N287" s="129"/>
      <c r="O287" s="131" t="str">
        <f>IF($B287="","",'Qredits maandlasten'!$C$8)</f>
        <v/>
      </c>
      <c r="P287" s="131" t="str">
        <f>IF($B287="","",'Qredits maandlasten'!$C$8*(POWER(1+'Qredits maandlasten'!$C$8,$B287-1+1)))</f>
        <v/>
      </c>
      <c r="Q287" s="131" t="str">
        <f t="shared" si="23"/>
        <v/>
      </c>
      <c r="R287" s="129"/>
      <c r="S287" s="130" t="str">
        <f t="shared" si="21"/>
        <v/>
      </c>
      <c r="T287" s="130" t="str">
        <f>IF(S287="","",J287/(POWER(1+'Qredits maandlasten'!$C$8,$B287-1+1)))</f>
        <v/>
      </c>
      <c r="U287" s="132" t="str">
        <f t="shared" si="24"/>
        <v/>
      </c>
      <c r="V287" s="130" t="str">
        <f>IF($B287="","",K287/(POWER(1+'Qredits maandlasten'!$C$8,$B287-1+1)))</f>
        <v/>
      </c>
      <c r="W287" s="129"/>
    </row>
    <row r="288" spans="1:23" s="134" customFormat="1" x14ac:dyDescent="0.2">
      <c r="A288" s="125"/>
      <c r="B288" s="126" t="str">
        <f>IF($B287="","",IF($B287+1&gt;'Qredits maandlasten'!$C$4,"",Schema!B287+1))</f>
        <v/>
      </c>
      <c r="C288" s="127" t="str">
        <f>IF($B287="","",IF($B287+1&gt;'Qredits maandlasten'!$C$4,"",EOMONTH(C287,0)+1))</f>
        <v/>
      </c>
      <c r="D288" s="125"/>
      <c r="E288" s="127" t="str">
        <f>IF($B287="","",IF($B287+1&gt;'Qredits maandlasten'!$C$4,"",F287+1))</f>
        <v/>
      </c>
      <c r="F288" s="127" t="str">
        <f>IF($B287="","",IF($B287+1&gt;'Qredits maandlasten'!$C$4,"",EOMONTH(E288,0)))</f>
        <v/>
      </c>
      <c r="G288" s="128" t="str">
        <f>IF($B287="","",IF($B287+1&gt;'Qredits maandlasten'!$C$4,"",(_xlfn.DAYS(F288,E288)+1)/DAY(F288)))</f>
        <v/>
      </c>
      <c r="H288" s="129"/>
      <c r="I288" s="130" t="str">
        <f>IF($B287="","",IF($B287+1&gt;'Qredits maandlasten'!$C$4,"",I287-J287))</f>
        <v/>
      </c>
      <c r="J288" s="130" t="str">
        <f>IF($B287="","",IF($B287+1&gt;'Qredits maandlasten'!$C$4,"",IF(B287&lt;'Qredits maandlasten'!$C$11-1,0,IF('Qredits maandlasten'!$C$10=dropdowns!$A$93,'Qredits maandlasten'!$J$3,IF('Qredits maandlasten'!$C$10=dropdowns!$A$92,IFERROR('Qredits maandlasten'!$J$3-K288,0),0)))))</f>
        <v/>
      </c>
      <c r="K288" s="130" t="str">
        <f>IF($B287="","",IF($B287+1&gt;'Qredits maandlasten'!$C$4,"",G288*I288*'Qredits maandlasten'!$C$8))</f>
        <v/>
      </c>
      <c r="L288" s="130" t="str">
        <f t="shared" si="22"/>
        <v/>
      </c>
      <c r="M288" s="130" t="str">
        <f t="shared" si="20"/>
        <v/>
      </c>
      <c r="N288" s="129"/>
      <c r="O288" s="131" t="str">
        <f>IF($B288="","",'Qredits maandlasten'!$C$8)</f>
        <v/>
      </c>
      <c r="P288" s="131" t="str">
        <f>IF($B288="","",'Qredits maandlasten'!$C$8*(POWER(1+'Qredits maandlasten'!$C$8,$B288-1+1)))</f>
        <v/>
      </c>
      <c r="Q288" s="131" t="str">
        <f t="shared" si="23"/>
        <v/>
      </c>
      <c r="R288" s="129"/>
      <c r="S288" s="130" t="str">
        <f t="shared" si="21"/>
        <v/>
      </c>
      <c r="T288" s="130" t="str">
        <f>IF(S288="","",J288/(POWER(1+'Qredits maandlasten'!$C$8,$B288-1+1)))</f>
        <v/>
      </c>
      <c r="U288" s="132" t="str">
        <f t="shared" si="24"/>
        <v/>
      </c>
      <c r="V288" s="130" t="str">
        <f>IF($B288="","",K288/(POWER(1+'Qredits maandlasten'!$C$8,$B288-1+1)))</f>
        <v/>
      </c>
      <c r="W288" s="129"/>
    </row>
    <row r="289" spans="1:23" s="134" customFormat="1" x14ac:dyDescent="0.2">
      <c r="A289" s="125"/>
      <c r="B289" s="126" t="str">
        <f>IF($B288="","",IF($B288+1&gt;'Qredits maandlasten'!$C$4,"",Schema!B288+1))</f>
        <v/>
      </c>
      <c r="C289" s="127" t="str">
        <f>IF($B288="","",IF($B288+1&gt;'Qredits maandlasten'!$C$4,"",EOMONTH(C288,0)+1))</f>
        <v/>
      </c>
      <c r="D289" s="125"/>
      <c r="E289" s="127" t="str">
        <f>IF($B288="","",IF($B288+1&gt;'Qredits maandlasten'!$C$4,"",F288+1))</f>
        <v/>
      </c>
      <c r="F289" s="127" t="str">
        <f>IF($B288="","",IF($B288+1&gt;'Qredits maandlasten'!$C$4,"",EOMONTH(E289,0)))</f>
        <v/>
      </c>
      <c r="G289" s="128" t="str">
        <f>IF($B288="","",IF($B288+1&gt;'Qredits maandlasten'!$C$4,"",(_xlfn.DAYS(F289,E289)+1)/DAY(F289)))</f>
        <v/>
      </c>
      <c r="H289" s="129"/>
      <c r="I289" s="130" t="str">
        <f>IF($B288="","",IF($B288+1&gt;'Qredits maandlasten'!$C$4,"",I288-J288))</f>
        <v/>
      </c>
      <c r="J289" s="130" t="str">
        <f>IF($B288="","",IF($B288+1&gt;'Qredits maandlasten'!$C$4,"",IF(B288&lt;'Qredits maandlasten'!$C$11-1,0,IF('Qredits maandlasten'!$C$10=dropdowns!$A$93,'Qredits maandlasten'!$J$3,IF('Qredits maandlasten'!$C$10=dropdowns!$A$92,IFERROR('Qredits maandlasten'!$J$3-K289,0),0)))))</f>
        <v/>
      </c>
      <c r="K289" s="130" t="str">
        <f>IF($B288="","",IF($B288+1&gt;'Qredits maandlasten'!$C$4,"",G289*I289*'Qredits maandlasten'!$C$8))</f>
        <v/>
      </c>
      <c r="L289" s="130" t="str">
        <f t="shared" si="22"/>
        <v/>
      </c>
      <c r="M289" s="130" t="str">
        <f t="shared" si="20"/>
        <v/>
      </c>
      <c r="N289" s="129"/>
      <c r="O289" s="131" t="str">
        <f>IF($B289="","",'Qredits maandlasten'!$C$8)</f>
        <v/>
      </c>
      <c r="P289" s="131" t="str">
        <f>IF($B289="","",'Qredits maandlasten'!$C$8*(POWER(1+'Qredits maandlasten'!$C$8,$B289-1+1)))</f>
        <v/>
      </c>
      <c r="Q289" s="131" t="str">
        <f t="shared" si="23"/>
        <v/>
      </c>
      <c r="R289" s="129"/>
      <c r="S289" s="130" t="str">
        <f t="shared" si="21"/>
        <v/>
      </c>
      <c r="T289" s="130" t="str">
        <f>IF(S289="","",J289/(POWER(1+'Qredits maandlasten'!$C$8,$B289-1+1)))</f>
        <v/>
      </c>
      <c r="U289" s="132" t="str">
        <f t="shared" si="24"/>
        <v/>
      </c>
      <c r="V289" s="130" t="str">
        <f>IF($B289="","",K289/(POWER(1+'Qredits maandlasten'!$C$8,$B289-1+1)))</f>
        <v/>
      </c>
      <c r="W289" s="129"/>
    </row>
    <row r="290" spans="1:23" s="134" customFormat="1" x14ac:dyDescent="0.2">
      <c r="A290" s="125"/>
      <c r="B290" s="126" t="str">
        <f>IF($B289="","",IF($B289+1&gt;'Qredits maandlasten'!$C$4,"",Schema!B289+1))</f>
        <v/>
      </c>
      <c r="C290" s="127" t="str">
        <f>IF($B289="","",IF($B289+1&gt;'Qredits maandlasten'!$C$4,"",EOMONTH(C289,0)+1))</f>
        <v/>
      </c>
      <c r="D290" s="125"/>
      <c r="E290" s="127" t="str">
        <f>IF($B289="","",IF($B289+1&gt;'Qredits maandlasten'!$C$4,"",F289+1))</f>
        <v/>
      </c>
      <c r="F290" s="127" t="str">
        <f>IF($B289="","",IF($B289+1&gt;'Qredits maandlasten'!$C$4,"",EOMONTH(E290,0)))</f>
        <v/>
      </c>
      <c r="G290" s="128" t="str">
        <f>IF($B289="","",IF($B289+1&gt;'Qredits maandlasten'!$C$4,"",(_xlfn.DAYS(F290,E290)+1)/DAY(F290)))</f>
        <v/>
      </c>
      <c r="H290" s="129"/>
      <c r="I290" s="130" t="str">
        <f>IF($B289="","",IF($B289+1&gt;'Qredits maandlasten'!$C$4,"",I289-J289))</f>
        <v/>
      </c>
      <c r="J290" s="130" t="str">
        <f>IF($B289="","",IF($B289+1&gt;'Qredits maandlasten'!$C$4,"",IF(B289&lt;'Qredits maandlasten'!$C$11-1,0,IF('Qredits maandlasten'!$C$10=dropdowns!$A$93,'Qredits maandlasten'!$J$3,IF('Qredits maandlasten'!$C$10=dropdowns!$A$92,IFERROR('Qredits maandlasten'!$J$3-K290,0),0)))))</f>
        <v/>
      </c>
      <c r="K290" s="130" t="str">
        <f>IF($B289="","",IF($B289+1&gt;'Qredits maandlasten'!$C$4,"",G290*I290*'Qredits maandlasten'!$C$8))</f>
        <v/>
      </c>
      <c r="L290" s="130" t="str">
        <f t="shared" si="22"/>
        <v/>
      </c>
      <c r="M290" s="130" t="str">
        <f t="shared" si="20"/>
        <v/>
      </c>
      <c r="N290" s="129"/>
      <c r="O290" s="131" t="str">
        <f>IF($B290="","",'Qredits maandlasten'!$C$8)</f>
        <v/>
      </c>
      <c r="P290" s="131" t="str">
        <f>IF($B290="","",'Qredits maandlasten'!$C$8*(POWER(1+'Qredits maandlasten'!$C$8,$B290-1+1)))</f>
        <v/>
      </c>
      <c r="Q290" s="131" t="str">
        <f t="shared" si="23"/>
        <v/>
      </c>
      <c r="R290" s="129"/>
      <c r="S290" s="130" t="str">
        <f t="shared" si="21"/>
        <v/>
      </c>
      <c r="T290" s="130" t="str">
        <f>IF(S290="","",J290/(POWER(1+'Qredits maandlasten'!$C$8,$B290-1+1)))</f>
        <v/>
      </c>
      <c r="U290" s="132" t="str">
        <f t="shared" si="24"/>
        <v/>
      </c>
      <c r="V290" s="130" t="str">
        <f>IF($B290="","",K290/(POWER(1+'Qredits maandlasten'!$C$8,$B290-1+1)))</f>
        <v/>
      </c>
      <c r="W290" s="129"/>
    </row>
    <row r="291" spans="1:23" s="134" customFormat="1" x14ac:dyDescent="0.2">
      <c r="A291" s="125"/>
      <c r="B291" s="126" t="str">
        <f>IF($B290="","",IF($B290+1&gt;'Qredits maandlasten'!$C$4,"",Schema!B290+1))</f>
        <v/>
      </c>
      <c r="C291" s="127" t="str">
        <f>IF($B290="","",IF($B290+1&gt;'Qredits maandlasten'!$C$4,"",EOMONTH(C290,0)+1))</f>
        <v/>
      </c>
      <c r="D291" s="125"/>
      <c r="E291" s="127" t="str">
        <f>IF($B290="","",IF($B290+1&gt;'Qredits maandlasten'!$C$4,"",F290+1))</f>
        <v/>
      </c>
      <c r="F291" s="127" t="str">
        <f>IF($B290="","",IF($B290+1&gt;'Qredits maandlasten'!$C$4,"",EOMONTH(E291,0)))</f>
        <v/>
      </c>
      <c r="G291" s="128" t="str">
        <f>IF($B290="","",IF($B290+1&gt;'Qredits maandlasten'!$C$4,"",(_xlfn.DAYS(F291,E291)+1)/DAY(F291)))</f>
        <v/>
      </c>
      <c r="H291" s="129"/>
      <c r="I291" s="130" t="str">
        <f>IF($B290="","",IF($B290+1&gt;'Qredits maandlasten'!$C$4,"",I290-J290))</f>
        <v/>
      </c>
      <c r="J291" s="130" t="str">
        <f>IF($B290="","",IF($B290+1&gt;'Qredits maandlasten'!$C$4,"",IF(B290&lt;'Qredits maandlasten'!$C$11-1,0,IF('Qredits maandlasten'!$C$10=dropdowns!$A$93,'Qredits maandlasten'!$J$3,IF('Qredits maandlasten'!$C$10=dropdowns!$A$92,IFERROR('Qredits maandlasten'!$J$3-K291,0),0)))))</f>
        <v/>
      </c>
      <c r="K291" s="130" t="str">
        <f>IF($B290="","",IF($B290+1&gt;'Qredits maandlasten'!$C$4,"",G291*I291*'Qredits maandlasten'!$C$8))</f>
        <v/>
      </c>
      <c r="L291" s="130" t="str">
        <f t="shared" si="22"/>
        <v/>
      </c>
      <c r="M291" s="130" t="str">
        <f t="shared" si="20"/>
        <v/>
      </c>
      <c r="N291" s="129"/>
      <c r="O291" s="131" t="str">
        <f>IF($B291="","",'Qredits maandlasten'!$C$8)</f>
        <v/>
      </c>
      <c r="P291" s="131" t="str">
        <f>IF($B291="","",'Qredits maandlasten'!$C$8*(POWER(1+'Qredits maandlasten'!$C$8,$B291-1+1)))</f>
        <v/>
      </c>
      <c r="Q291" s="131" t="str">
        <f t="shared" si="23"/>
        <v/>
      </c>
      <c r="R291" s="129"/>
      <c r="S291" s="130" t="str">
        <f t="shared" si="21"/>
        <v/>
      </c>
      <c r="T291" s="130" t="str">
        <f>IF(S291="","",J291/(POWER(1+'Qredits maandlasten'!$C$8,$B291-1+1)))</f>
        <v/>
      </c>
      <c r="U291" s="132" t="str">
        <f t="shared" si="24"/>
        <v/>
      </c>
      <c r="V291" s="130" t="str">
        <f>IF($B291="","",K291/(POWER(1+'Qredits maandlasten'!$C$8,$B291-1+1)))</f>
        <v/>
      </c>
      <c r="W291" s="129"/>
    </row>
    <row r="292" spans="1:23" s="134" customFormat="1" x14ac:dyDescent="0.2">
      <c r="A292" s="125"/>
      <c r="B292" s="126" t="str">
        <f>IF($B291="","",IF($B291+1&gt;'Qredits maandlasten'!$C$4,"",Schema!B291+1))</f>
        <v/>
      </c>
      <c r="C292" s="127" t="str">
        <f>IF($B291="","",IF($B291+1&gt;'Qredits maandlasten'!$C$4,"",EOMONTH(C291,0)+1))</f>
        <v/>
      </c>
      <c r="D292" s="125"/>
      <c r="E292" s="127" t="str">
        <f>IF($B291="","",IF($B291+1&gt;'Qredits maandlasten'!$C$4,"",F291+1))</f>
        <v/>
      </c>
      <c r="F292" s="127" t="str">
        <f>IF($B291="","",IF($B291+1&gt;'Qredits maandlasten'!$C$4,"",EOMONTH(E292,0)))</f>
        <v/>
      </c>
      <c r="G292" s="128" t="str">
        <f>IF($B291="","",IF($B291+1&gt;'Qredits maandlasten'!$C$4,"",(_xlfn.DAYS(F292,E292)+1)/DAY(F292)))</f>
        <v/>
      </c>
      <c r="H292" s="129"/>
      <c r="I292" s="130" t="str">
        <f>IF($B291="","",IF($B291+1&gt;'Qredits maandlasten'!$C$4,"",I291-J291))</f>
        <v/>
      </c>
      <c r="J292" s="130" t="str">
        <f>IF($B291="","",IF($B291+1&gt;'Qredits maandlasten'!$C$4,"",IF(B291&lt;'Qredits maandlasten'!$C$11-1,0,IF('Qredits maandlasten'!$C$10=dropdowns!$A$93,'Qredits maandlasten'!$J$3,IF('Qredits maandlasten'!$C$10=dropdowns!$A$92,IFERROR('Qredits maandlasten'!$J$3-K292,0),0)))))</f>
        <v/>
      </c>
      <c r="K292" s="130" t="str">
        <f>IF($B291="","",IF($B291+1&gt;'Qredits maandlasten'!$C$4,"",G292*I292*'Qredits maandlasten'!$C$8))</f>
        <v/>
      </c>
      <c r="L292" s="130" t="str">
        <f t="shared" si="22"/>
        <v/>
      </c>
      <c r="M292" s="130" t="str">
        <f t="shared" si="20"/>
        <v/>
      </c>
      <c r="N292" s="129"/>
      <c r="O292" s="131" t="str">
        <f>IF($B292="","",'Qredits maandlasten'!$C$8)</f>
        <v/>
      </c>
      <c r="P292" s="131" t="str">
        <f>IF($B292="","",'Qredits maandlasten'!$C$8*(POWER(1+'Qredits maandlasten'!$C$8,$B292-1+1)))</f>
        <v/>
      </c>
      <c r="Q292" s="131" t="str">
        <f t="shared" si="23"/>
        <v/>
      </c>
      <c r="R292" s="129"/>
      <c r="S292" s="130" t="str">
        <f t="shared" si="21"/>
        <v/>
      </c>
      <c r="T292" s="130" t="str">
        <f>IF(S292="","",J292/(POWER(1+'Qredits maandlasten'!$C$8,$B292-1+1)))</f>
        <v/>
      </c>
      <c r="U292" s="132" t="str">
        <f t="shared" si="24"/>
        <v/>
      </c>
      <c r="V292" s="130" t="str">
        <f>IF($B292="","",K292/(POWER(1+'Qredits maandlasten'!$C$8,$B292-1+1)))</f>
        <v/>
      </c>
      <c r="W292" s="129"/>
    </row>
    <row r="293" spans="1:23" s="134" customFormat="1" x14ac:dyDescent="0.2">
      <c r="A293" s="125"/>
      <c r="B293" s="126" t="str">
        <f>IF($B292="","",IF($B292+1&gt;'Qredits maandlasten'!$C$4,"",Schema!B292+1))</f>
        <v/>
      </c>
      <c r="C293" s="127" t="str">
        <f>IF($B292="","",IF($B292+1&gt;'Qredits maandlasten'!$C$4,"",EOMONTH(C292,0)+1))</f>
        <v/>
      </c>
      <c r="D293" s="125"/>
      <c r="E293" s="127" t="str">
        <f>IF($B292="","",IF($B292+1&gt;'Qredits maandlasten'!$C$4,"",F292+1))</f>
        <v/>
      </c>
      <c r="F293" s="127" t="str">
        <f>IF($B292="","",IF($B292+1&gt;'Qredits maandlasten'!$C$4,"",EOMONTH(E293,0)))</f>
        <v/>
      </c>
      <c r="G293" s="128" t="str">
        <f>IF($B292="","",IF($B292+1&gt;'Qredits maandlasten'!$C$4,"",(_xlfn.DAYS(F293,E293)+1)/DAY(F293)))</f>
        <v/>
      </c>
      <c r="H293" s="129"/>
      <c r="I293" s="130" t="str">
        <f>IF($B292="","",IF($B292+1&gt;'Qredits maandlasten'!$C$4,"",I292-J292))</f>
        <v/>
      </c>
      <c r="J293" s="130" t="str">
        <f>IF($B292="","",IF($B292+1&gt;'Qredits maandlasten'!$C$4,"",IF(B292&lt;'Qredits maandlasten'!$C$11-1,0,IF('Qredits maandlasten'!$C$10=dropdowns!$A$93,'Qredits maandlasten'!$J$3,IF('Qredits maandlasten'!$C$10=dropdowns!$A$92,IFERROR('Qredits maandlasten'!$J$3-K293,0),0)))))</f>
        <v/>
      </c>
      <c r="K293" s="130" t="str">
        <f>IF($B292="","",IF($B292+1&gt;'Qredits maandlasten'!$C$4,"",G293*I293*'Qredits maandlasten'!$C$8))</f>
        <v/>
      </c>
      <c r="L293" s="130" t="str">
        <f t="shared" si="22"/>
        <v/>
      </c>
      <c r="M293" s="130" t="str">
        <f t="shared" si="20"/>
        <v/>
      </c>
      <c r="N293" s="129"/>
      <c r="O293" s="131" t="str">
        <f>IF($B293="","",'Qredits maandlasten'!$C$8)</f>
        <v/>
      </c>
      <c r="P293" s="131" t="str">
        <f>IF($B293="","",'Qredits maandlasten'!$C$8*(POWER(1+'Qredits maandlasten'!$C$8,$B293-1+1)))</f>
        <v/>
      </c>
      <c r="Q293" s="131" t="str">
        <f t="shared" si="23"/>
        <v/>
      </c>
      <c r="R293" s="129"/>
      <c r="S293" s="130" t="str">
        <f t="shared" si="21"/>
        <v/>
      </c>
      <c r="T293" s="130" t="str">
        <f>IF(S293="","",J293/(POWER(1+'Qredits maandlasten'!$C$8,$B293-1+1)))</f>
        <v/>
      </c>
      <c r="U293" s="132" t="str">
        <f t="shared" si="24"/>
        <v/>
      </c>
      <c r="V293" s="130" t="str">
        <f>IF($B293="","",K293/(POWER(1+'Qredits maandlasten'!$C$8,$B293-1+1)))</f>
        <v/>
      </c>
      <c r="W293" s="129"/>
    </row>
    <row r="294" spans="1:23" s="134" customFormat="1" x14ac:dyDescent="0.2">
      <c r="A294" s="125"/>
      <c r="B294" s="126" t="str">
        <f>IF($B293="","",IF($B293+1&gt;'Qredits maandlasten'!$C$4,"",Schema!B293+1))</f>
        <v/>
      </c>
      <c r="C294" s="127" t="str">
        <f>IF($B293="","",IF($B293+1&gt;'Qredits maandlasten'!$C$4,"",EOMONTH(C293,0)+1))</f>
        <v/>
      </c>
      <c r="D294" s="125"/>
      <c r="E294" s="127" t="str">
        <f>IF($B293="","",IF($B293+1&gt;'Qredits maandlasten'!$C$4,"",F293+1))</f>
        <v/>
      </c>
      <c r="F294" s="127" t="str">
        <f>IF($B293="","",IF($B293+1&gt;'Qredits maandlasten'!$C$4,"",EOMONTH(E294,0)))</f>
        <v/>
      </c>
      <c r="G294" s="128" t="str">
        <f>IF($B293="","",IF($B293+1&gt;'Qredits maandlasten'!$C$4,"",(_xlfn.DAYS(F294,E294)+1)/DAY(F294)))</f>
        <v/>
      </c>
      <c r="H294" s="129"/>
      <c r="I294" s="130" t="str">
        <f>IF($B293="","",IF($B293+1&gt;'Qredits maandlasten'!$C$4,"",I293-J293))</f>
        <v/>
      </c>
      <c r="J294" s="130" t="str">
        <f>IF($B293="","",IF($B293+1&gt;'Qredits maandlasten'!$C$4,"",IF(B293&lt;'Qredits maandlasten'!$C$11-1,0,IF('Qredits maandlasten'!$C$10=dropdowns!$A$93,'Qredits maandlasten'!$J$3,IF('Qredits maandlasten'!$C$10=dropdowns!$A$92,IFERROR('Qredits maandlasten'!$J$3-K294,0),0)))))</f>
        <v/>
      </c>
      <c r="K294" s="130" t="str">
        <f>IF($B293="","",IF($B293+1&gt;'Qredits maandlasten'!$C$4,"",G294*I294*'Qredits maandlasten'!$C$8))</f>
        <v/>
      </c>
      <c r="L294" s="130" t="str">
        <f t="shared" si="22"/>
        <v/>
      </c>
      <c r="M294" s="130" t="str">
        <f t="shared" si="20"/>
        <v/>
      </c>
      <c r="N294" s="129"/>
      <c r="O294" s="131" t="str">
        <f>IF($B294="","",'Qredits maandlasten'!$C$8)</f>
        <v/>
      </c>
      <c r="P294" s="131" t="str">
        <f>IF($B294="","",'Qredits maandlasten'!$C$8*(POWER(1+'Qredits maandlasten'!$C$8,$B294-1+1)))</f>
        <v/>
      </c>
      <c r="Q294" s="131" t="str">
        <f t="shared" si="23"/>
        <v/>
      </c>
      <c r="R294" s="129"/>
      <c r="S294" s="130" t="str">
        <f t="shared" si="21"/>
        <v/>
      </c>
      <c r="T294" s="130" t="str">
        <f>IF(S294="","",J294/(POWER(1+'Qredits maandlasten'!$C$8,$B294-1+1)))</f>
        <v/>
      </c>
      <c r="U294" s="132" t="str">
        <f t="shared" si="24"/>
        <v/>
      </c>
      <c r="V294" s="130" t="str">
        <f>IF($B294="","",K294/(POWER(1+'Qredits maandlasten'!$C$8,$B294-1+1)))</f>
        <v/>
      </c>
      <c r="W294" s="129"/>
    </row>
    <row r="295" spans="1:23" s="134" customFormat="1" x14ac:dyDescent="0.2">
      <c r="A295" s="125"/>
      <c r="B295" s="126" t="str">
        <f>IF($B294="","",IF($B294+1&gt;'Qredits maandlasten'!$C$4,"",Schema!B294+1))</f>
        <v/>
      </c>
      <c r="C295" s="127" t="str">
        <f>IF($B294="","",IF($B294+1&gt;'Qredits maandlasten'!$C$4,"",EOMONTH(C294,0)+1))</f>
        <v/>
      </c>
      <c r="D295" s="125"/>
      <c r="E295" s="127" t="str">
        <f>IF($B294="","",IF($B294+1&gt;'Qredits maandlasten'!$C$4,"",F294+1))</f>
        <v/>
      </c>
      <c r="F295" s="127" t="str">
        <f>IF($B294="","",IF($B294+1&gt;'Qredits maandlasten'!$C$4,"",EOMONTH(E295,0)))</f>
        <v/>
      </c>
      <c r="G295" s="128" t="str">
        <f>IF($B294="","",IF($B294+1&gt;'Qredits maandlasten'!$C$4,"",(_xlfn.DAYS(F295,E295)+1)/DAY(F295)))</f>
        <v/>
      </c>
      <c r="H295" s="129"/>
      <c r="I295" s="130" t="str">
        <f>IF($B294="","",IF($B294+1&gt;'Qredits maandlasten'!$C$4,"",I294-J294))</f>
        <v/>
      </c>
      <c r="J295" s="130" t="str">
        <f>IF($B294="","",IF($B294+1&gt;'Qredits maandlasten'!$C$4,"",IF(B294&lt;'Qredits maandlasten'!$C$11-1,0,IF('Qredits maandlasten'!$C$10=dropdowns!$A$93,'Qredits maandlasten'!$J$3,IF('Qredits maandlasten'!$C$10=dropdowns!$A$92,IFERROR('Qredits maandlasten'!$J$3-K295,0),0)))))</f>
        <v/>
      </c>
      <c r="K295" s="130" t="str">
        <f>IF($B294="","",IF($B294+1&gt;'Qredits maandlasten'!$C$4,"",G295*I295*'Qredits maandlasten'!$C$8))</f>
        <v/>
      </c>
      <c r="L295" s="130" t="str">
        <f t="shared" si="22"/>
        <v/>
      </c>
      <c r="M295" s="130" t="str">
        <f t="shared" si="20"/>
        <v/>
      </c>
      <c r="N295" s="129"/>
      <c r="O295" s="131" t="str">
        <f>IF($B295="","",'Qredits maandlasten'!$C$8)</f>
        <v/>
      </c>
      <c r="P295" s="131" t="str">
        <f>IF($B295="","",'Qredits maandlasten'!$C$8*(POWER(1+'Qredits maandlasten'!$C$8,$B295-1+1)))</f>
        <v/>
      </c>
      <c r="Q295" s="131" t="str">
        <f t="shared" si="23"/>
        <v/>
      </c>
      <c r="R295" s="129"/>
      <c r="S295" s="130" t="str">
        <f t="shared" si="21"/>
        <v/>
      </c>
      <c r="T295" s="130" t="str">
        <f>IF(S295="","",J295/(POWER(1+'Qredits maandlasten'!$C$8,$B295-1+1)))</f>
        <v/>
      </c>
      <c r="U295" s="132" t="str">
        <f t="shared" si="24"/>
        <v/>
      </c>
      <c r="V295" s="130" t="str">
        <f>IF($B295="","",K295/(POWER(1+'Qredits maandlasten'!$C$8,$B295-1+1)))</f>
        <v/>
      </c>
      <c r="W295" s="129"/>
    </row>
    <row r="296" spans="1:23" s="134" customFormat="1" x14ac:dyDescent="0.2">
      <c r="A296" s="125"/>
      <c r="B296" s="126" t="str">
        <f>IF($B295="","",IF($B295+1&gt;'Qredits maandlasten'!$C$4,"",Schema!B295+1))</f>
        <v/>
      </c>
      <c r="C296" s="127" t="str">
        <f>IF($B295="","",IF($B295+1&gt;'Qredits maandlasten'!$C$4,"",EOMONTH(C295,0)+1))</f>
        <v/>
      </c>
      <c r="D296" s="125"/>
      <c r="E296" s="127" t="str">
        <f>IF($B295="","",IF($B295+1&gt;'Qredits maandlasten'!$C$4,"",F295+1))</f>
        <v/>
      </c>
      <c r="F296" s="127" t="str">
        <f>IF($B295="","",IF($B295+1&gt;'Qredits maandlasten'!$C$4,"",EOMONTH(E296,0)))</f>
        <v/>
      </c>
      <c r="G296" s="128" t="str">
        <f>IF($B295="","",IF($B295+1&gt;'Qredits maandlasten'!$C$4,"",(_xlfn.DAYS(F296,E296)+1)/DAY(F296)))</f>
        <v/>
      </c>
      <c r="H296" s="129"/>
      <c r="I296" s="130" t="str">
        <f>IF($B295="","",IF($B295+1&gt;'Qredits maandlasten'!$C$4,"",I295-J295))</f>
        <v/>
      </c>
      <c r="J296" s="130" t="str">
        <f>IF($B295="","",IF($B295+1&gt;'Qredits maandlasten'!$C$4,"",IF(B295&lt;'Qredits maandlasten'!$C$11-1,0,IF('Qredits maandlasten'!$C$10=dropdowns!$A$93,'Qredits maandlasten'!$J$3,IF('Qredits maandlasten'!$C$10=dropdowns!$A$92,IFERROR('Qredits maandlasten'!$J$3-K296,0),0)))))</f>
        <v/>
      </c>
      <c r="K296" s="130" t="str">
        <f>IF($B295="","",IF($B295+1&gt;'Qredits maandlasten'!$C$4,"",G296*I296*'Qredits maandlasten'!$C$8))</f>
        <v/>
      </c>
      <c r="L296" s="130" t="str">
        <f t="shared" si="22"/>
        <v/>
      </c>
      <c r="M296" s="130" t="str">
        <f t="shared" si="20"/>
        <v/>
      </c>
      <c r="N296" s="129"/>
      <c r="O296" s="131" t="str">
        <f>IF($B296="","",'Qredits maandlasten'!$C$8)</f>
        <v/>
      </c>
      <c r="P296" s="131" t="str">
        <f>IF($B296="","",'Qredits maandlasten'!$C$8*(POWER(1+'Qredits maandlasten'!$C$8,$B296-1+1)))</f>
        <v/>
      </c>
      <c r="Q296" s="131" t="str">
        <f t="shared" si="23"/>
        <v/>
      </c>
      <c r="R296" s="129"/>
      <c r="S296" s="130" t="str">
        <f t="shared" si="21"/>
        <v/>
      </c>
      <c r="T296" s="130" t="str">
        <f>IF(S296="","",J296/(POWER(1+'Qredits maandlasten'!$C$8,$B296-1+1)))</f>
        <v/>
      </c>
      <c r="U296" s="132" t="str">
        <f t="shared" si="24"/>
        <v/>
      </c>
      <c r="V296" s="130" t="str">
        <f>IF($B296="","",K296/(POWER(1+'Qredits maandlasten'!$C$8,$B296-1+1)))</f>
        <v/>
      </c>
      <c r="W296" s="129"/>
    </row>
    <row r="297" spans="1:23" s="134" customFormat="1" x14ac:dyDescent="0.2">
      <c r="A297" s="125"/>
      <c r="B297" s="126" t="str">
        <f>IF($B296="","",IF($B296+1&gt;'Qredits maandlasten'!$C$4,"",Schema!B296+1))</f>
        <v/>
      </c>
      <c r="C297" s="127" t="str">
        <f>IF($B296="","",IF($B296+1&gt;'Qredits maandlasten'!$C$4,"",EOMONTH(C296,0)+1))</f>
        <v/>
      </c>
      <c r="D297" s="125"/>
      <c r="E297" s="127" t="str">
        <f>IF($B296="","",IF($B296+1&gt;'Qredits maandlasten'!$C$4,"",F296+1))</f>
        <v/>
      </c>
      <c r="F297" s="127" t="str">
        <f>IF($B296="","",IF($B296+1&gt;'Qredits maandlasten'!$C$4,"",EOMONTH(E297,0)))</f>
        <v/>
      </c>
      <c r="G297" s="128" t="str">
        <f>IF($B296="","",IF($B296+1&gt;'Qredits maandlasten'!$C$4,"",(_xlfn.DAYS(F297,E297)+1)/DAY(F297)))</f>
        <v/>
      </c>
      <c r="H297" s="129"/>
      <c r="I297" s="130" t="str">
        <f>IF($B296="","",IF($B296+1&gt;'Qredits maandlasten'!$C$4,"",I296-J296))</f>
        <v/>
      </c>
      <c r="J297" s="130" t="str">
        <f>IF($B296="","",IF($B296+1&gt;'Qredits maandlasten'!$C$4,"",IF(B296&lt;'Qredits maandlasten'!$C$11-1,0,IF('Qredits maandlasten'!$C$10=dropdowns!$A$93,'Qredits maandlasten'!$J$3,IF('Qredits maandlasten'!$C$10=dropdowns!$A$92,IFERROR('Qredits maandlasten'!$J$3-K297,0),0)))))</f>
        <v/>
      </c>
      <c r="K297" s="130" t="str">
        <f>IF($B296="","",IF($B296+1&gt;'Qredits maandlasten'!$C$4,"",G297*I297*'Qredits maandlasten'!$C$8))</f>
        <v/>
      </c>
      <c r="L297" s="130" t="str">
        <f t="shared" si="22"/>
        <v/>
      </c>
      <c r="M297" s="130" t="str">
        <f t="shared" si="20"/>
        <v/>
      </c>
      <c r="N297" s="129"/>
      <c r="O297" s="131" t="str">
        <f>IF($B297="","",'Qredits maandlasten'!$C$8)</f>
        <v/>
      </c>
      <c r="P297" s="131" t="str">
        <f>IF($B297="","",'Qredits maandlasten'!$C$8*(POWER(1+'Qredits maandlasten'!$C$8,$B297-1+1)))</f>
        <v/>
      </c>
      <c r="Q297" s="131" t="str">
        <f t="shared" si="23"/>
        <v/>
      </c>
      <c r="R297" s="129"/>
      <c r="S297" s="130" t="str">
        <f t="shared" si="21"/>
        <v/>
      </c>
      <c r="T297" s="130" t="str">
        <f>IF(S297="","",J297/(POWER(1+'Qredits maandlasten'!$C$8,$B297-1+1)))</f>
        <v/>
      </c>
      <c r="U297" s="132" t="str">
        <f t="shared" si="24"/>
        <v/>
      </c>
      <c r="V297" s="130" t="str">
        <f>IF($B297="","",K297/(POWER(1+'Qredits maandlasten'!$C$8,$B297-1+1)))</f>
        <v/>
      </c>
      <c r="W297" s="129"/>
    </row>
    <row r="298" spans="1:23" s="134" customFormat="1" x14ac:dyDescent="0.2">
      <c r="A298" s="125"/>
      <c r="B298" s="126" t="str">
        <f>IF($B297="","",IF($B297+1&gt;'Qredits maandlasten'!$C$4,"",Schema!B297+1))</f>
        <v/>
      </c>
      <c r="C298" s="127" t="str">
        <f>IF($B297="","",IF($B297+1&gt;'Qredits maandlasten'!$C$4,"",EOMONTH(C297,0)+1))</f>
        <v/>
      </c>
      <c r="D298" s="125"/>
      <c r="E298" s="127" t="str">
        <f>IF($B297="","",IF($B297+1&gt;'Qredits maandlasten'!$C$4,"",F297+1))</f>
        <v/>
      </c>
      <c r="F298" s="127" t="str">
        <f>IF($B297="","",IF($B297+1&gt;'Qredits maandlasten'!$C$4,"",EOMONTH(E298,0)))</f>
        <v/>
      </c>
      <c r="G298" s="128" t="str">
        <f>IF($B297="","",IF($B297+1&gt;'Qredits maandlasten'!$C$4,"",(_xlfn.DAYS(F298,E298)+1)/DAY(F298)))</f>
        <v/>
      </c>
      <c r="H298" s="129"/>
      <c r="I298" s="130" t="str">
        <f>IF($B297="","",IF($B297+1&gt;'Qredits maandlasten'!$C$4,"",I297-J297))</f>
        <v/>
      </c>
      <c r="J298" s="130" t="str">
        <f>IF($B297="","",IF($B297+1&gt;'Qredits maandlasten'!$C$4,"",IF(B297&lt;'Qredits maandlasten'!$C$11-1,0,IF('Qredits maandlasten'!$C$10=dropdowns!$A$93,'Qredits maandlasten'!$J$3,IF('Qredits maandlasten'!$C$10=dropdowns!$A$92,IFERROR('Qredits maandlasten'!$J$3-K298,0),0)))))</f>
        <v/>
      </c>
      <c r="K298" s="130" t="str">
        <f>IF($B297="","",IF($B297+1&gt;'Qredits maandlasten'!$C$4,"",G298*I298*'Qredits maandlasten'!$C$8))</f>
        <v/>
      </c>
      <c r="L298" s="130" t="str">
        <f t="shared" si="22"/>
        <v/>
      </c>
      <c r="M298" s="130" t="str">
        <f t="shared" si="20"/>
        <v/>
      </c>
      <c r="N298" s="129"/>
      <c r="O298" s="131" t="str">
        <f>IF($B298="","",'Qredits maandlasten'!$C$8)</f>
        <v/>
      </c>
      <c r="P298" s="131" t="str">
        <f>IF($B298="","",'Qredits maandlasten'!$C$8*(POWER(1+'Qredits maandlasten'!$C$8,$B298-1+1)))</f>
        <v/>
      </c>
      <c r="Q298" s="131" t="str">
        <f t="shared" si="23"/>
        <v/>
      </c>
      <c r="R298" s="129"/>
      <c r="S298" s="130" t="str">
        <f t="shared" si="21"/>
        <v/>
      </c>
      <c r="T298" s="130" t="str">
        <f>IF(S298="","",J298/(POWER(1+'Qredits maandlasten'!$C$8,$B298-1+1)))</f>
        <v/>
      </c>
      <c r="U298" s="132" t="str">
        <f t="shared" si="24"/>
        <v/>
      </c>
      <c r="V298" s="130" t="str">
        <f>IF($B298="","",K298/(POWER(1+'Qredits maandlasten'!$C$8,$B298-1+1)))</f>
        <v/>
      </c>
      <c r="W298" s="129"/>
    </row>
    <row r="299" spans="1:23" s="134" customFormat="1" x14ac:dyDescent="0.2">
      <c r="A299" s="125"/>
      <c r="B299" s="126" t="str">
        <f>IF($B298="","",IF($B298+1&gt;'Qredits maandlasten'!$C$4,"",Schema!B298+1))</f>
        <v/>
      </c>
      <c r="C299" s="127" t="str">
        <f>IF($B298="","",IF($B298+1&gt;'Qredits maandlasten'!$C$4,"",EOMONTH(C298,0)+1))</f>
        <v/>
      </c>
      <c r="D299" s="125"/>
      <c r="E299" s="127" t="str">
        <f>IF($B298="","",IF($B298+1&gt;'Qredits maandlasten'!$C$4,"",F298+1))</f>
        <v/>
      </c>
      <c r="F299" s="127" t="str">
        <f>IF($B298="","",IF($B298+1&gt;'Qredits maandlasten'!$C$4,"",EOMONTH(E299,0)))</f>
        <v/>
      </c>
      <c r="G299" s="128" t="str">
        <f>IF($B298="","",IF($B298+1&gt;'Qredits maandlasten'!$C$4,"",(_xlfn.DAYS(F299,E299)+1)/DAY(F299)))</f>
        <v/>
      </c>
      <c r="H299" s="129"/>
      <c r="I299" s="130" t="str">
        <f>IF($B298="","",IF($B298+1&gt;'Qredits maandlasten'!$C$4,"",I298-J298))</f>
        <v/>
      </c>
      <c r="J299" s="130" t="str">
        <f>IF($B298="","",IF($B298+1&gt;'Qredits maandlasten'!$C$4,"",IF(B298&lt;'Qredits maandlasten'!$C$11-1,0,IF('Qredits maandlasten'!$C$10=dropdowns!$A$93,'Qredits maandlasten'!$J$3,IF('Qredits maandlasten'!$C$10=dropdowns!$A$92,IFERROR('Qredits maandlasten'!$J$3-K299,0),0)))))</f>
        <v/>
      </c>
      <c r="K299" s="130" t="str">
        <f>IF($B298="","",IF($B298+1&gt;'Qredits maandlasten'!$C$4,"",G299*I299*'Qredits maandlasten'!$C$8))</f>
        <v/>
      </c>
      <c r="L299" s="130" t="str">
        <f t="shared" si="22"/>
        <v/>
      </c>
      <c r="M299" s="130" t="str">
        <f t="shared" si="20"/>
        <v/>
      </c>
      <c r="N299" s="129"/>
      <c r="O299" s="131" t="str">
        <f>IF($B299="","",'Qredits maandlasten'!$C$8)</f>
        <v/>
      </c>
      <c r="P299" s="131" t="str">
        <f>IF($B299="","",'Qredits maandlasten'!$C$8*(POWER(1+'Qredits maandlasten'!$C$8,$B299-1+1)))</f>
        <v/>
      </c>
      <c r="Q299" s="131" t="str">
        <f t="shared" si="23"/>
        <v/>
      </c>
      <c r="R299" s="129"/>
      <c r="S299" s="130" t="str">
        <f t="shared" si="21"/>
        <v/>
      </c>
      <c r="T299" s="130" t="str">
        <f>IF(S299="","",J299/(POWER(1+'Qredits maandlasten'!$C$8,$B299-1+1)))</f>
        <v/>
      </c>
      <c r="U299" s="132" t="str">
        <f t="shared" si="24"/>
        <v/>
      </c>
      <c r="V299" s="130" t="str">
        <f>IF($B299="","",K299/(POWER(1+'Qredits maandlasten'!$C$8,$B299-1+1)))</f>
        <v/>
      </c>
      <c r="W299" s="129"/>
    </row>
    <row r="300" spans="1:23" s="134" customFormat="1" x14ac:dyDescent="0.2">
      <c r="A300" s="125"/>
      <c r="B300" s="126" t="str">
        <f>IF($B299="","",IF($B299+1&gt;'Qredits maandlasten'!$C$4,"",Schema!B299+1))</f>
        <v/>
      </c>
      <c r="C300" s="127" t="str">
        <f>IF($B299="","",IF($B299+1&gt;'Qredits maandlasten'!$C$4,"",EOMONTH(C299,0)+1))</f>
        <v/>
      </c>
      <c r="D300" s="125"/>
      <c r="E300" s="127" t="str">
        <f>IF($B299="","",IF($B299+1&gt;'Qredits maandlasten'!$C$4,"",F299+1))</f>
        <v/>
      </c>
      <c r="F300" s="127" t="str">
        <f>IF($B299="","",IF($B299+1&gt;'Qredits maandlasten'!$C$4,"",EOMONTH(E300,0)))</f>
        <v/>
      </c>
      <c r="G300" s="128" t="str">
        <f>IF($B299="","",IF($B299+1&gt;'Qredits maandlasten'!$C$4,"",(_xlfn.DAYS(F300,E300)+1)/DAY(F300)))</f>
        <v/>
      </c>
      <c r="H300" s="129"/>
      <c r="I300" s="130" t="str">
        <f>IF($B299="","",IF($B299+1&gt;'Qredits maandlasten'!$C$4,"",I299-J299))</f>
        <v/>
      </c>
      <c r="J300" s="130" t="str">
        <f>IF($B299="","",IF($B299+1&gt;'Qredits maandlasten'!$C$4,"",IF(B299&lt;'Qredits maandlasten'!$C$11-1,0,IF('Qredits maandlasten'!$C$10=dropdowns!$A$93,'Qredits maandlasten'!$J$3,IF('Qredits maandlasten'!$C$10=dropdowns!$A$92,IFERROR('Qredits maandlasten'!$J$3-K300,0),0)))))</f>
        <v/>
      </c>
      <c r="K300" s="130" t="str">
        <f>IF($B299="","",IF($B299+1&gt;'Qredits maandlasten'!$C$4,"",G300*I300*'Qredits maandlasten'!$C$8))</f>
        <v/>
      </c>
      <c r="L300" s="130" t="str">
        <f t="shared" si="22"/>
        <v/>
      </c>
      <c r="M300" s="130" t="str">
        <f t="shared" si="20"/>
        <v/>
      </c>
      <c r="N300" s="129"/>
      <c r="O300" s="131" t="str">
        <f>IF($B300="","",'Qredits maandlasten'!$C$8)</f>
        <v/>
      </c>
      <c r="P300" s="131" t="str">
        <f>IF($B300="","",'Qredits maandlasten'!$C$8*(POWER(1+'Qredits maandlasten'!$C$8,$B300-1+1)))</f>
        <v/>
      </c>
      <c r="Q300" s="131" t="str">
        <f t="shared" si="23"/>
        <v/>
      </c>
      <c r="R300" s="129"/>
      <c r="S300" s="130" t="str">
        <f t="shared" si="21"/>
        <v/>
      </c>
      <c r="T300" s="130" t="str">
        <f>IF(S300="","",J300/(POWER(1+'Qredits maandlasten'!$C$8,$B300-1+1)))</f>
        <v/>
      </c>
      <c r="U300" s="132" t="str">
        <f t="shared" si="24"/>
        <v/>
      </c>
      <c r="V300" s="130" t="str">
        <f>IF($B300="","",K300/(POWER(1+'Qredits maandlasten'!$C$8,$B300-1+1)))</f>
        <v/>
      </c>
      <c r="W300" s="129"/>
    </row>
    <row r="301" spans="1:23" s="134" customFormat="1" x14ac:dyDescent="0.2">
      <c r="A301" s="125"/>
      <c r="B301" s="126" t="str">
        <f>IF($B300="","",IF($B300+1&gt;'Qredits maandlasten'!$C$4,"",Schema!B300+1))</f>
        <v/>
      </c>
      <c r="C301" s="127" t="str">
        <f>IF($B300="","",IF($B300+1&gt;'Qredits maandlasten'!$C$4,"",EOMONTH(C300,0)+1))</f>
        <v/>
      </c>
      <c r="D301" s="125"/>
      <c r="E301" s="127" t="str">
        <f>IF($B300="","",IF($B300+1&gt;'Qredits maandlasten'!$C$4,"",F300+1))</f>
        <v/>
      </c>
      <c r="F301" s="127" t="str">
        <f>IF($B300="","",IF($B300+1&gt;'Qredits maandlasten'!$C$4,"",EOMONTH(E301,0)))</f>
        <v/>
      </c>
      <c r="G301" s="128" t="str">
        <f>IF($B300="","",IF($B300+1&gt;'Qredits maandlasten'!$C$4,"",(_xlfn.DAYS(F301,E301)+1)/DAY(F301)))</f>
        <v/>
      </c>
      <c r="H301" s="129"/>
      <c r="I301" s="130" t="str">
        <f>IF($B300="","",IF($B300+1&gt;'Qredits maandlasten'!$C$4,"",I300-J300))</f>
        <v/>
      </c>
      <c r="J301" s="130" t="str">
        <f>IF($B300="","",IF($B300+1&gt;'Qredits maandlasten'!$C$4,"",IF(B300&lt;'Qredits maandlasten'!$C$11-1,0,IF('Qredits maandlasten'!$C$10=dropdowns!$A$93,'Qredits maandlasten'!$J$3,IF('Qredits maandlasten'!$C$10=dropdowns!$A$92,IFERROR('Qredits maandlasten'!$J$3-K301,0),0)))))</f>
        <v/>
      </c>
      <c r="K301" s="130" t="str">
        <f>IF($B300="","",IF($B300+1&gt;'Qredits maandlasten'!$C$4,"",G301*I301*'Qredits maandlasten'!$C$8))</f>
        <v/>
      </c>
      <c r="L301" s="130" t="str">
        <f t="shared" si="22"/>
        <v/>
      </c>
      <c r="M301" s="130" t="str">
        <f t="shared" si="20"/>
        <v/>
      </c>
      <c r="N301" s="129"/>
      <c r="O301" s="131" t="str">
        <f>IF($B301="","",'Qredits maandlasten'!$C$8)</f>
        <v/>
      </c>
      <c r="P301" s="131" t="str">
        <f>IF($B301="","",'Qredits maandlasten'!$C$8*(POWER(1+'Qredits maandlasten'!$C$8,$B301-1+1)))</f>
        <v/>
      </c>
      <c r="Q301" s="131" t="str">
        <f t="shared" si="23"/>
        <v/>
      </c>
      <c r="R301" s="129"/>
      <c r="S301" s="130" t="str">
        <f t="shared" si="21"/>
        <v/>
      </c>
      <c r="T301" s="130" t="str">
        <f>IF(S301="","",J301/(POWER(1+'Qredits maandlasten'!$C$8,$B301-1+1)))</f>
        <v/>
      </c>
      <c r="U301" s="132" t="str">
        <f t="shared" si="24"/>
        <v/>
      </c>
      <c r="V301" s="130" t="str">
        <f>IF($B301="","",K301/(POWER(1+'Qredits maandlasten'!$C$8,$B301-1+1)))</f>
        <v/>
      </c>
      <c r="W301" s="129"/>
    </row>
    <row r="302" spans="1:23" s="134" customFormat="1" x14ac:dyDescent="0.2">
      <c r="A302" s="125"/>
      <c r="B302" s="126" t="str">
        <f>IF($B301="","",IF($B301+1&gt;'Qredits maandlasten'!$C$4,"",Schema!B301+1))</f>
        <v/>
      </c>
      <c r="C302" s="127" t="str">
        <f>IF($B301="","",IF($B301+1&gt;'Qredits maandlasten'!$C$4,"",EOMONTH(C301,0)+1))</f>
        <v/>
      </c>
      <c r="D302" s="125"/>
      <c r="E302" s="127" t="str">
        <f>IF($B301="","",IF($B301+1&gt;'Qredits maandlasten'!$C$4,"",F301+1))</f>
        <v/>
      </c>
      <c r="F302" s="127" t="str">
        <f>IF($B301="","",IF($B301+1&gt;'Qredits maandlasten'!$C$4,"",EOMONTH(E302,0)))</f>
        <v/>
      </c>
      <c r="G302" s="128" t="str">
        <f>IF($B301="","",IF($B301+1&gt;'Qredits maandlasten'!$C$4,"",(_xlfn.DAYS(F302,E302)+1)/DAY(F302)))</f>
        <v/>
      </c>
      <c r="H302" s="129"/>
      <c r="I302" s="130" t="str">
        <f>IF($B301="","",IF($B301+1&gt;'Qredits maandlasten'!$C$4,"",I301-J301))</f>
        <v/>
      </c>
      <c r="J302" s="130" t="str">
        <f>IF($B301="","",IF($B301+1&gt;'Qredits maandlasten'!$C$4,"",IF(B301&lt;'Qredits maandlasten'!$C$11-1,0,IF('Qredits maandlasten'!$C$10=dropdowns!$A$93,'Qredits maandlasten'!$J$3,IF('Qredits maandlasten'!$C$10=dropdowns!$A$92,IFERROR('Qredits maandlasten'!$J$3-K302,0),0)))))</f>
        <v/>
      </c>
      <c r="K302" s="130" t="str">
        <f>IF($B301="","",IF($B301+1&gt;'Qredits maandlasten'!$C$4,"",G302*I302*'Qredits maandlasten'!$C$8))</f>
        <v/>
      </c>
      <c r="L302" s="130" t="str">
        <f t="shared" si="22"/>
        <v/>
      </c>
      <c r="M302" s="130" t="str">
        <f t="shared" si="20"/>
        <v/>
      </c>
      <c r="N302" s="129"/>
      <c r="O302" s="131" t="str">
        <f>IF($B302="","",'Qredits maandlasten'!$C$8)</f>
        <v/>
      </c>
      <c r="P302" s="131" t="str">
        <f>IF($B302="","",'Qredits maandlasten'!$C$8*(POWER(1+'Qredits maandlasten'!$C$8,$B302-1+1)))</f>
        <v/>
      </c>
      <c r="Q302" s="131" t="str">
        <f t="shared" si="23"/>
        <v/>
      </c>
      <c r="R302" s="129"/>
      <c r="S302" s="130" t="str">
        <f t="shared" si="21"/>
        <v/>
      </c>
      <c r="T302" s="130" t="str">
        <f>IF(S302="","",J302/(POWER(1+'Qredits maandlasten'!$C$8,$B302-1+1)))</f>
        <v/>
      </c>
      <c r="U302" s="132" t="str">
        <f t="shared" si="24"/>
        <v/>
      </c>
      <c r="V302" s="130" t="str">
        <f>IF($B302="","",K302/(POWER(1+'Qredits maandlasten'!$C$8,$B302-1+1)))</f>
        <v/>
      </c>
      <c r="W302" s="129"/>
    </row>
    <row r="303" spans="1:23" s="134" customFormat="1" x14ac:dyDescent="0.2">
      <c r="A303" s="125"/>
      <c r="B303" s="126" t="str">
        <f>IF($B302="","",IF($B302+1&gt;'Qredits maandlasten'!$C$4,"",Schema!B302+1))</f>
        <v/>
      </c>
      <c r="C303" s="127" t="str">
        <f>IF($B302="","",IF($B302+1&gt;'Qredits maandlasten'!$C$4,"",EOMONTH(C302,0)+1))</f>
        <v/>
      </c>
      <c r="D303" s="125"/>
      <c r="E303" s="127" t="str">
        <f>IF($B302="","",IF($B302+1&gt;'Qredits maandlasten'!$C$4,"",F302+1))</f>
        <v/>
      </c>
      <c r="F303" s="127" t="str">
        <f>IF($B302="","",IF($B302+1&gt;'Qredits maandlasten'!$C$4,"",EOMONTH(E303,0)))</f>
        <v/>
      </c>
      <c r="G303" s="128" t="str">
        <f>IF($B302="","",IF($B302+1&gt;'Qredits maandlasten'!$C$4,"",(_xlfn.DAYS(F303,E303)+1)/DAY(F303)))</f>
        <v/>
      </c>
      <c r="H303" s="129"/>
      <c r="I303" s="130" t="str">
        <f>IF($B302="","",IF($B302+1&gt;'Qredits maandlasten'!$C$4,"",I302-J302))</f>
        <v/>
      </c>
      <c r="J303" s="130" t="str">
        <f>IF($B302="","",IF($B302+1&gt;'Qredits maandlasten'!$C$4,"",IF(B302&lt;'Qredits maandlasten'!$C$11-1,0,IF('Qredits maandlasten'!$C$10=dropdowns!$A$93,'Qredits maandlasten'!$J$3,IF('Qredits maandlasten'!$C$10=dropdowns!$A$92,IFERROR('Qredits maandlasten'!$J$3-K303,0),0)))))</f>
        <v/>
      </c>
      <c r="K303" s="130" t="str">
        <f>IF($B302="","",IF($B302+1&gt;'Qredits maandlasten'!$C$4,"",G303*I303*'Qredits maandlasten'!$C$8))</f>
        <v/>
      </c>
      <c r="L303" s="130" t="str">
        <f t="shared" si="22"/>
        <v/>
      </c>
      <c r="M303" s="130" t="str">
        <f t="shared" si="20"/>
        <v/>
      </c>
      <c r="N303" s="129"/>
      <c r="O303" s="131" t="str">
        <f>IF($B303="","",'Qredits maandlasten'!$C$8)</f>
        <v/>
      </c>
      <c r="P303" s="131" t="str">
        <f>IF($B303="","",'Qredits maandlasten'!$C$8*(POWER(1+'Qredits maandlasten'!$C$8,$B303-1+1)))</f>
        <v/>
      </c>
      <c r="Q303" s="131" t="str">
        <f t="shared" si="23"/>
        <v/>
      </c>
      <c r="R303" s="129"/>
      <c r="S303" s="130" t="str">
        <f t="shared" si="21"/>
        <v/>
      </c>
      <c r="T303" s="130" t="str">
        <f>IF(S303="","",J303/(POWER(1+'Qredits maandlasten'!$C$8,$B303-1+1)))</f>
        <v/>
      </c>
      <c r="U303" s="132" t="str">
        <f t="shared" si="24"/>
        <v/>
      </c>
      <c r="V303" s="130" t="str">
        <f>IF($B303="","",K303/(POWER(1+'Qredits maandlasten'!$C$8,$B303-1+1)))</f>
        <v/>
      </c>
      <c r="W303" s="129"/>
    </row>
    <row r="304" spans="1:23" s="134" customFormat="1" x14ac:dyDescent="0.2">
      <c r="A304" s="125"/>
      <c r="B304" s="126" t="str">
        <f>IF($B303="","",IF($B303+1&gt;'Qredits maandlasten'!$C$4,"",Schema!B303+1))</f>
        <v/>
      </c>
      <c r="C304" s="127" t="str">
        <f>IF($B303="","",IF($B303+1&gt;'Qredits maandlasten'!$C$4,"",EOMONTH(C303,0)+1))</f>
        <v/>
      </c>
      <c r="D304" s="125"/>
      <c r="E304" s="127" t="str">
        <f>IF($B303="","",IF($B303+1&gt;'Qredits maandlasten'!$C$4,"",F303+1))</f>
        <v/>
      </c>
      <c r="F304" s="127" t="str">
        <f>IF($B303="","",IF($B303+1&gt;'Qredits maandlasten'!$C$4,"",EOMONTH(E304,0)))</f>
        <v/>
      </c>
      <c r="G304" s="128" t="str">
        <f>IF($B303="","",IF($B303+1&gt;'Qredits maandlasten'!$C$4,"",(_xlfn.DAYS(F304,E304)+1)/DAY(F304)))</f>
        <v/>
      </c>
      <c r="H304" s="129"/>
      <c r="I304" s="130" t="str">
        <f>IF($B303="","",IF($B303+1&gt;'Qredits maandlasten'!$C$4,"",I303-J303))</f>
        <v/>
      </c>
      <c r="J304" s="130" t="str">
        <f>IF($B303="","",IF($B303+1&gt;'Qredits maandlasten'!$C$4,"",IF(B303&lt;'Qredits maandlasten'!$C$11-1,0,IF('Qredits maandlasten'!$C$10=dropdowns!$A$93,'Qredits maandlasten'!$J$3,IF('Qredits maandlasten'!$C$10=dropdowns!$A$92,IFERROR('Qredits maandlasten'!$J$3-K304,0),0)))))</f>
        <v/>
      </c>
      <c r="K304" s="130" t="str">
        <f>IF($B303="","",IF($B303+1&gt;'Qredits maandlasten'!$C$4,"",G304*I304*'Qredits maandlasten'!$C$8))</f>
        <v/>
      </c>
      <c r="L304" s="130" t="str">
        <f t="shared" si="22"/>
        <v/>
      </c>
      <c r="M304" s="130" t="str">
        <f t="shared" si="20"/>
        <v/>
      </c>
      <c r="N304" s="129"/>
      <c r="O304" s="131" t="str">
        <f>IF($B304="","",'Qredits maandlasten'!$C$8)</f>
        <v/>
      </c>
      <c r="P304" s="131" t="str">
        <f>IF($B304="","",'Qredits maandlasten'!$C$8*(POWER(1+'Qredits maandlasten'!$C$8,$B304-1+1)))</f>
        <v/>
      </c>
      <c r="Q304" s="131" t="str">
        <f t="shared" si="23"/>
        <v/>
      </c>
      <c r="R304" s="129"/>
      <c r="S304" s="130" t="str">
        <f t="shared" si="21"/>
        <v/>
      </c>
      <c r="T304" s="130" t="str">
        <f>IF(S304="","",J304/(POWER(1+'Qredits maandlasten'!$C$8,$B304-1+1)))</f>
        <v/>
      </c>
      <c r="U304" s="132" t="str">
        <f t="shared" si="24"/>
        <v/>
      </c>
      <c r="V304" s="130" t="str">
        <f>IF($B304="","",K304/(POWER(1+'Qredits maandlasten'!$C$8,$B304-1+1)))</f>
        <v/>
      </c>
      <c r="W304" s="129"/>
    </row>
    <row r="305" spans="1:23" s="134" customFormat="1" x14ac:dyDescent="0.2">
      <c r="A305" s="125"/>
      <c r="B305" s="126" t="str">
        <f>IF($B304="","",IF($B304+1&gt;'Qredits maandlasten'!$C$4,"",Schema!B304+1))</f>
        <v/>
      </c>
      <c r="C305" s="127" t="str">
        <f>IF($B304="","",IF($B304+1&gt;'Qredits maandlasten'!$C$4,"",EOMONTH(C304,0)+1))</f>
        <v/>
      </c>
      <c r="D305" s="125"/>
      <c r="E305" s="127" t="str">
        <f>IF($B304="","",IF($B304+1&gt;'Qredits maandlasten'!$C$4,"",F304+1))</f>
        <v/>
      </c>
      <c r="F305" s="127" t="str">
        <f>IF($B304="","",IF($B304+1&gt;'Qredits maandlasten'!$C$4,"",EOMONTH(E305,0)))</f>
        <v/>
      </c>
      <c r="G305" s="128" t="str">
        <f>IF($B304="","",IF($B304+1&gt;'Qredits maandlasten'!$C$4,"",(_xlfn.DAYS(F305,E305)+1)/DAY(F305)))</f>
        <v/>
      </c>
      <c r="H305" s="129"/>
      <c r="I305" s="130" t="str">
        <f>IF($B304="","",IF($B304+1&gt;'Qredits maandlasten'!$C$4,"",I304-J304))</f>
        <v/>
      </c>
      <c r="J305" s="130" t="str">
        <f>IF($B304="","",IF($B304+1&gt;'Qredits maandlasten'!$C$4,"",IF(B304&lt;'Qredits maandlasten'!$C$11-1,0,IF('Qredits maandlasten'!$C$10=dropdowns!$A$93,'Qredits maandlasten'!$J$3,IF('Qredits maandlasten'!$C$10=dropdowns!$A$92,IFERROR('Qredits maandlasten'!$J$3-K305,0),0)))))</f>
        <v/>
      </c>
      <c r="K305" s="130" t="str">
        <f>IF($B304="","",IF($B304+1&gt;'Qredits maandlasten'!$C$4,"",G305*I305*'Qredits maandlasten'!$C$8))</f>
        <v/>
      </c>
      <c r="L305" s="130" t="str">
        <f t="shared" si="22"/>
        <v/>
      </c>
      <c r="M305" s="130" t="str">
        <f t="shared" si="20"/>
        <v/>
      </c>
      <c r="N305" s="129"/>
      <c r="O305" s="131" t="str">
        <f>IF($B305="","",'Qredits maandlasten'!$C$8)</f>
        <v/>
      </c>
      <c r="P305" s="131" t="str">
        <f>IF($B305="","",'Qredits maandlasten'!$C$8*(POWER(1+'Qredits maandlasten'!$C$8,$B305-1+1)))</f>
        <v/>
      </c>
      <c r="Q305" s="131" t="str">
        <f t="shared" si="23"/>
        <v/>
      </c>
      <c r="R305" s="129"/>
      <c r="S305" s="130" t="str">
        <f t="shared" si="21"/>
        <v/>
      </c>
      <c r="T305" s="130" t="str">
        <f>IF(S305="","",J305/(POWER(1+'Qredits maandlasten'!$C$8,$B305-1+1)))</f>
        <v/>
      </c>
      <c r="U305" s="132" t="str">
        <f t="shared" si="24"/>
        <v/>
      </c>
      <c r="V305" s="130" t="str">
        <f>IF($B305="","",K305/(POWER(1+'Qredits maandlasten'!$C$8,$B305-1+1)))</f>
        <v/>
      </c>
      <c r="W305" s="129"/>
    </row>
    <row r="306" spans="1:23" s="134" customFormat="1" x14ac:dyDescent="0.2">
      <c r="A306" s="125"/>
      <c r="B306" s="126" t="str">
        <f>IF($B305="","",IF($B305+1&gt;'Qredits maandlasten'!$C$4,"",Schema!B305+1))</f>
        <v/>
      </c>
      <c r="C306" s="127" t="str">
        <f>IF($B305="","",IF($B305+1&gt;'Qredits maandlasten'!$C$4,"",EOMONTH(C305,0)+1))</f>
        <v/>
      </c>
      <c r="D306" s="125"/>
      <c r="E306" s="127" t="str">
        <f>IF($B305="","",IF($B305+1&gt;'Qredits maandlasten'!$C$4,"",F305+1))</f>
        <v/>
      </c>
      <c r="F306" s="127" t="str">
        <f>IF($B305="","",IF($B305+1&gt;'Qredits maandlasten'!$C$4,"",EOMONTH(E306,0)))</f>
        <v/>
      </c>
      <c r="G306" s="128" t="str">
        <f>IF($B305="","",IF($B305+1&gt;'Qredits maandlasten'!$C$4,"",(_xlfn.DAYS(F306,E306)+1)/DAY(F306)))</f>
        <v/>
      </c>
      <c r="H306" s="129"/>
      <c r="I306" s="130" t="str">
        <f>IF($B305="","",IF($B305+1&gt;'Qredits maandlasten'!$C$4,"",I305-J305))</f>
        <v/>
      </c>
      <c r="J306" s="130" t="str">
        <f>IF($B305="","",IF($B305+1&gt;'Qredits maandlasten'!$C$4,"",IF(B305&lt;'Qredits maandlasten'!$C$11-1,0,IF('Qredits maandlasten'!$C$10=dropdowns!$A$93,'Qredits maandlasten'!$J$3,IF('Qredits maandlasten'!$C$10=dropdowns!$A$92,IFERROR('Qredits maandlasten'!$J$3-K306,0),0)))))</f>
        <v/>
      </c>
      <c r="K306" s="130" t="str">
        <f>IF($B305="","",IF($B305+1&gt;'Qredits maandlasten'!$C$4,"",G306*I306*'Qredits maandlasten'!$C$8))</f>
        <v/>
      </c>
      <c r="L306" s="130" t="str">
        <f t="shared" si="22"/>
        <v/>
      </c>
      <c r="M306" s="130" t="str">
        <f t="shared" si="20"/>
        <v/>
      </c>
      <c r="N306" s="129"/>
      <c r="O306" s="131" t="str">
        <f>IF($B306="","",'Qredits maandlasten'!$C$8)</f>
        <v/>
      </c>
      <c r="P306" s="131" t="str">
        <f>IF($B306="","",'Qredits maandlasten'!$C$8*(POWER(1+'Qredits maandlasten'!$C$8,$B306-1+1)))</f>
        <v/>
      </c>
      <c r="Q306" s="131" t="str">
        <f t="shared" si="23"/>
        <v/>
      </c>
      <c r="R306" s="129"/>
      <c r="S306" s="130" t="str">
        <f t="shared" si="21"/>
        <v/>
      </c>
      <c r="T306" s="130" t="str">
        <f>IF(S306="","",J306/(POWER(1+'Qredits maandlasten'!$C$8,$B306-1+1)))</f>
        <v/>
      </c>
      <c r="U306" s="132" t="str">
        <f t="shared" si="24"/>
        <v/>
      </c>
      <c r="V306" s="130" t="str">
        <f>IF($B306="","",K306/(POWER(1+'Qredits maandlasten'!$C$8,$B306-1+1)))</f>
        <v/>
      </c>
      <c r="W306" s="129"/>
    </row>
    <row r="307" spans="1:23" s="134" customFormat="1" x14ac:dyDescent="0.2">
      <c r="A307" s="125"/>
      <c r="B307" s="126" t="str">
        <f>IF($B306="","",IF($B306+1&gt;'Qredits maandlasten'!$C$4,"",Schema!B306+1))</f>
        <v/>
      </c>
      <c r="C307" s="127" t="str">
        <f>IF($B306="","",IF($B306+1&gt;'Qredits maandlasten'!$C$4,"",EOMONTH(C306,0)+1))</f>
        <v/>
      </c>
      <c r="D307" s="125"/>
      <c r="E307" s="127" t="str">
        <f>IF($B306="","",IF($B306+1&gt;'Qredits maandlasten'!$C$4,"",F306+1))</f>
        <v/>
      </c>
      <c r="F307" s="127" t="str">
        <f>IF($B306="","",IF($B306+1&gt;'Qredits maandlasten'!$C$4,"",EOMONTH(E307,0)))</f>
        <v/>
      </c>
      <c r="G307" s="128" t="str">
        <f>IF($B306="","",IF($B306+1&gt;'Qredits maandlasten'!$C$4,"",(_xlfn.DAYS(F307,E307)+1)/DAY(F307)))</f>
        <v/>
      </c>
      <c r="H307" s="129"/>
      <c r="I307" s="130" t="str">
        <f>IF($B306="","",IF($B306+1&gt;'Qredits maandlasten'!$C$4,"",I306-J306))</f>
        <v/>
      </c>
      <c r="J307" s="130" t="str">
        <f>IF($B306="","",IF($B306+1&gt;'Qredits maandlasten'!$C$4,"",IF(B306&lt;'Qredits maandlasten'!$C$11-1,0,IF('Qredits maandlasten'!$C$10=dropdowns!$A$93,'Qredits maandlasten'!$J$3,IF('Qredits maandlasten'!$C$10=dropdowns!$A$92,IFERROR('Qredits maandlasten'!$J$3-K307,0),0)))))</f>
        <v/>
      </c>
      <c r="K307" s="130" t="str">
        <f>IF($B306="","",IF($B306+1&gt;'Qredits maandlasten'!$C$4,"",G307*I307*'Qredits maandlasten'!$C$8))</f>
        <v/>
      </c>
      <c r="L307" s="130" t="str">
        <f t="shared" si="22"/>
        <v/>
      </c>
      <c r="M307" s="130" t="str">
        <f t="shared" si="20"/>
        <v/>
      </c>
      <c r="N307" s="129"/>
      <c r="O307" s="131" t="str">
        <f>IF($B307="","",'Qredits maandlasten'!$C$8)</f>
        <v/>
      </c>
      <c r="P307" s="131" t="str">
        <f>IF($B307="","",'Qredits maandlasten'!$C$8*(POWER(1+'Qredits maandlasten'!$C$8,$B307-1+1)))</f>
        <v/>
      </c>
      <c r="Q307" s="131" t="str">
        <f t="shared" si="23"/>
        <v/>
      </c>
      <c r="R307" s="129"/>
      <c r="S307" s="130" t="str">
        <f t="shared" si="21"/>
        <v/>
      </c>
      <c r="T307" s="130" t="str">
        <f>IF(S307="","",J307/(POWER(1+'Qredits maandlasten'!$C$8,$B307-1+1)))</f>
        <v/>
      </c>
      <c r="U307" s="132" t="str">
        <f t="shared" si="24"/>
        <v/>
      </c>
      <c r="V307" s="130" t="str">
        <f>IF($B307="","",K307/(POWER(1+'Qredits maandlasten'!$C$8,$B307-1+1)))</f>
        <v/>
      </c>
      <c r="W307" s="129"/>
    </row>
    <row r="308" spans="1:23" s="134" customFormat="1" x14ac:dyDescent="0.2">
      <c r="A308" s="125"/>
      <c r="B308" s="126" t="str">
        <f>IF($B307="","",IF($B307+1&gt;'Qredits maandlasten'!$C$4,"",Schema!B307+1))</f>
        <v/>
      </c>
      <c r="C308" s="127" t="str">
        <f>IF($B307="","",IF($B307+1&gt;'Qredits maandlasten'!$C$4,"",EOMONTH(C307,0)+1))</f>
        <v/>
      </c>
      <c r="D308" s="125"/>
      <c r="E308" s="127" t="str">
        <f>IF($B307="","",IF($B307+1&gt;'Qredits maandlasten'!$C$4,"",F307+1))</f>
        <v/>
      </c>
      <c r="F308" s="127" t="str">
        <f>IF($B307="","",IF($B307+1&gt;'Qredits maandlasten'!$C$4,"",EOMONTH(E308,0)))</f>
        <v/>
      </c>
      <c r="G308" s="128" t="str">
        <f>IF($B307="","",IF($B307+1&gt;'Qredits maandlasten'!$C$4,"",(_xlfn.DAYS(F308,E308)+1)/DAY(F308)))</f>
        <v/>
      </c>
      <c r="H308" s="129"/>
      <c r="I308" s="130" t="str">
        <f>IF($B307="","",IF($B307+1&gt;'Qredits maandlasten'!$C$4,"",I307-J307))</f>
        <v/>
      </c>
      <c r="J308" s="130" t="str">
        <f>IF($B307="","",IF($B307+1&gt;'Qredits maandlasten'!$C$4,"",IF(B307&lt;'Qredits maandlasten'!$C$11-1,0,IF('Qredits maandlasten'!$C$10=dropdowns!$A$93,'Qredits maandlasten'!$J$3,IF('Qredits maandlasten'!$C$10=dropdowns!$A$92,IFERROR('Qredits maandlasten'!$J$3-K308,0),0)))))</f>
        <v/>
      </c>
      <c r="K308" s="130" t="str">
        <f>IF($B307="","",IF($B307+1&gt;'Qredits maandlasten'!$C$4,"",G308*I308*'Qredits maandlasten'!$C$8))</f>
        <v/>
      </c>
      <c r="L308" s="130" t="str">
        <f t="shared" si="22"/>
        <v/>
      </c>
      <c r="M308" s="130" t="str">
        <f t="shared" si="20"/>
        <v/>
      </c>
      <c r="N308" s="129"/>
      <c r="O308" s="131" t="str">
        <f>IF($B308="","",'Qredits maandlasten'!$C$8)</f>
        <v/>
      </c>
      <c r="P308" s="131" t="str">
        <f>IF($B308="","",'Qredits maandlasten'!$C$8*(POWER(1+'Qredits maandlasten'!$C$8,$B308-1+1)))</f>
        <v/>
      </c>
      <c r="Q308" s="131" t="str">
        <f t="shared" si="23"/>
        <v/>
      </c>
      <c r="R308" s="129"/>
      <c r="S308" s="130" t="str">
        <f t="shared" si="21"/>
        <v/>
      </c>
      <c r="T308" s="130" t="str">
        <f>IF(S308="","",J308/(POWER(1+'Qredits maandlasten'!$C$8,$B308-1+1)))</f>
        <v/>
      </c>
      <c r="U308" s="132" t="str">
        <f t="shared" si="24"/>
        <v/>
      </c>
      <c r="V308" s="130" t="str">
        <f>IF($B308="","",K308/(POWER(1+'Qredits maandlasten'!$C$8,$B308-1+1)))</f>
        <v/>
      </c>
      <c r="W308" s="129"/>
    </row>
    <row r="309" spans="1:23" s="134" customFormat="1" x14ac:dyDescent="0.2">
      <c r="A309" s="125"/>
      <c r="B309" s="126" t="str">
        <f>IF($B308="","",IF($B308+1&gt;'Qredits maandlasten'!$C$4,"",Schema!B308+1))</f>
        <v/>
      </c>
      <c r="C309" s="127" t="str">
        <f>IF($B308="","",IF($B308+1&gt;'Qredits maandlasten'!$C$4,"",EOMONTH(C308,0)+1))</f>
        <v/>
      </c>
      <c r="D309" s="125"/>
      <c r="E309" s="127" t="str">
        <f>IF($B308="","",IF($B308+1&gt;'Qredits maandlasten'!$C$4,"",F308+1))</f>
        <v/>
      </c>
      <c r="F309" s="127" t="str">
        <f>IF($B308="","",IF($B308+1&gt;'Qredits maandlasten'!$C$4,"",EOMONTH(E309,0)))</f>
        <v/>
      </c>
      <c r="G309" s="128" t="str">
        <f>IF($B308="","",IF($B308+1&gt;'Qredits maandlasten'!$C$4,"",(_xlfn.DAYS(F309,E309)+1)/DAY(F309)))</f>
        <v/>
      </c>
      <c r="H309" s="129"/>
      <c r="I309" s="130" t="str">
        <f>IF($B308="","",IF($B308+1&gt;'Qredits maandlasten'!$C$4,"",I308-J308))</f>
        <v/>
      </c>
      <c r="J309" s="130" t="str">
        <f>IF($B308="","",IF($B308+1&gt;'Qredits maandlasten'!$C$4,"",IF(B308&lt;'Qredits maandlasten'!$C$11-1,0,IF('Qredits maandlasten'!$C$10=dropdowns!$A$93,'Qredits maandlasten'!$J$3,IF('Qredits maandlasten'!$C$10=dropdowns!$A$92,IFERROR('Qredits maandlasten'!$J$3-K309,0),0)))))</f>
        <v/>
      </c>
      <c r="K309" s="130" t="str">
        <f>IF($B308="","",IF($B308+1&gt;'Qredits maandlasten'!$C$4,"",G309*I309*'Qredits maandlasten'!$C$8))</f>
        <v/>
      </c>
      <c r="L309" s="130" t="str">
        <f t="shared" si="22"/>
        <v/>
      </c>
      <c r="M309" s="130" t="str">
        <f t="shared" si="20"/>
        <v/>
      </c>
      <c r="N309" s="129"/>
      <c r="O309" s="131" t="str">
        <f>IF($B309="","",'Qredits maandlasten'!$C$8)</f>
        <v/>
      </c>
      <c r="P309" s="131" t="str">
        <f>IF($B309="","",'Qredits maandlasten'!$C$8*(POWER(1+'Qredits maandlasten'!$C$8,$B309-1+1)))</f>
        <v/>
      </c>
      <c r="Q309" s="131" t="str">
        <f t="shared" si="23"/>
        <v/>
      </c>
      <c r="R309" s="129"/>
      <c r="S309" s="130" t="str">
        <f t="shared" si="21"/>
        <v/>
      </c>
      <c r="T309" s="130" t="str">
        <f>IF(S309="","",J309/(POWER(1+'Qredits maandlasten'!$C$8,$B309-1+1)))</f>
        <v/>
      </c>
      <c r="U309" s="132" t="str">
        <f t="shared" si="24"/>
        <v/>
      </c>
      <c r="V309" s="130" t="str">
        <f>IF($B309="","",K309/(POWER(1+'Qredits maandlasten'!$C$8,$B309-1+1)))</f>
        <v/>
      </c>
      <c r="W309" s="129"/>
    </row>
    <row r="310" spans="1:23" s="134" customFormat="1" x14ac:dyDescent="0.2">
      <c r="A310" s="125"/>
      <c r="B310" s="126" t="str">
        <f>IF($B309="","",IF($B309+1&gt;'Qredits maandlasten'!$C$4,"",Schema!B309+1))</f>
        <v/>
      </c>
      <c r="C310" s="127" t="str">
        <f>IF($B309="","",IF($B309+1&gt;'Qredits maandlasten'!$C$4,"",EOMONTH(C309,0)+1))</f>
        <v/>
      </c>
      <c r="D310" s="125"/>
      <c r="E310" s="127" t="str">
        <f>IF($B309="","",IF($B309+1&gt;'Qredits maandlasten'!$C$4,"",F309+1))</f>
        <v/>
      </c>
      <c r="F310" s="127" t="str">
        <f>IF($B309="","",IF($B309+1&gt;'Qredits maandlasten'!$C$4,"",EOMONTH(E310,0)))</f>
        <v/>
      </c>
      <c r="G310" s="128" t="str">
        <f>IF($B309="","",IF($B309+1&gt;'Qredits maandlasten'!$C$4,"",(_xlfn.DAYS(F310,E310)+1)/DAY(F310)))</f>
        <v/>
      </c>
      <c r="H310" s="129"/>
      <c r="I310" s="130" t="str">
        <f>IF($B309="","",IF($B309+1&gt;'Qredits maandlasten'!$C$4,"",I309-J309))</f>
        <v/>
      </c>
      <c r="J310" s="130" t="str">
        <f>IF($B309="","",IF($B309+1&gt;'Qredits maandlasten'!$C$4,"",IF(B309&lt;'Qredits maandlasten'!$C$11-1,0,IF('Qredits maandlasten'!$C$10=dropdowns!$A$93,'Qredits maandlasten'!$J$3,IF('Qredits maandlasten'!$C$10=dropdowns!$A$92,IFERROR('Qredits maandlasten'!$J$3-K310,0),0)))))</f>
        <v/>
      </c>
      <c r="K310" s="130" t="str">
        <f>IF($B309="","",IF($B309+1&gt;'Qredits maandlasten'!$C$4,"",G310*I310*'Qredits maandlasten'!$C$8))</f>
        <v/>
      </c>
      <c r="L310" s="130" t="str">
        <f t="shared" si="22"/>
        <v/>
      </c>
      <c r="M310" s="130" t="str">
        <f t="shared" si="20"/>
        <v/>
      </c>
      <c r="N310" s="129"/>
      <c r="O310" s="131" t="str">
        <f>IF($B310="","",'Qredits maandlasten'!$C$8)</f>
        <v/>
      </c>
      <c r="P310" s="131" t="str">
        <f>IF($B310="","",'Qredits maandlasten'!$C$8*(POWER(1+'Qredits maandlasten'!$C$8,$B310-1+1)))</f>
        <v/>
      </c>
      <c r="Q310" s="131" t="str">
        <f t="shared" si="23"/>
        <v/>
      </c>
      <c r="R310" s="129"/>
      <c r="S310" s="130" t="str">
        <f t="shared" si="21"/>
        <v/>
      </c>
      <c r="T310" s="130" t="str">
        <f>IF(S310="","",J310/(POWER(1+'Qredits maandlasten'!$C$8,$B310-1+1)))</f>
        <v/>
      </c>
      <c r="U310" s="132" t="str">
        <f t="shared" si="24"/>
        <v/>
      </c>
      <c r="V310" s="130" t="str">
        <f>IF($B310="","",K310/(POWER(1+'Qredits maandlasten'!$C$8,$B310-1+1)))</f>
        <v/>
      </c>
      <c r="W310" s="129"/>
    </row>
    <row r="311" spans="1:23" s="134" customFormat="1" x14ac:dyDescent="0.2">
      <c r="A311" s="125"/>
      <c r="B311" s="126" t="str">
        <f>IF($B310="","",IF($B310+1&gt;'Qredits maandlasten'!$C$4,"",Schema!B310+1))</f>
        <v/>
      </c>
      <c r="C311" s="127" t="str">
        <f>IF($B310="","",IF($B310+1&gt;'Qredits maandlasten'!$C$4,"",EOMONTH(C310,0)+1))</f>
        <v/>
      </c>
      <c r="D311" s="125"/>
      <c r="E311" s="127" t="str">
        <f>IF($B310="","",IF($B310+1&gt;'Qredits maandlasten'!$C$4,"",F310+1))</f>
        <v/>
      </c>
      <c r="F311" s="127" t="str">
        <f>IF($B310="","",IF($B310+1&gt;'Qredits maandlasten'!$C$4,"",EOMONTH(E311,0)))</f>
        <v/>
      </c>
      <c r="G311" s="128" t="str">
        <f>IF($B310="","",IF($B310+1&gt;'Qredits maandlasten'!$C$4,"",(_xlfn.DAYS(F311,E311)+1)/DAY(F311)))</f>
        <v/>
      </c>
      <c r="H311" s="129"/>
      <c r="I311" s="130" t="str">
        <f>IF($B310="","",IF($B310+1&gt;'Qredits maandlasten'!$C$4,"",I310-J310))</f>
        <v/>
      </c>
      <c r="J311" s="130" t="str">
        <f>IF($B310="","",IF($B310+1&gt;'Qredits maandlasten'!$C$4,"",IF(B310&lt;'Qredits maandlasten'!$C$11-1,0,IF('Qredits maandlasten'!$C$10=dropdowns!$A$93,'Qredits maandlasten'!$J$3,IF('Qredits maandlasten'!$C$10=dropdowns!$A$92,IFERROR('Qredits maandlasten'!$J$3-K311,0),0)))))</f>
        <v/>
      </c>
      <c r="K311" s="130" t="str">
        <f>IF($B310="","",IF($B310+1&gt;'Qredits maandlasten'!$C$4,"",G311*I311*'Qredits maandlasten'!$C$8))</f>
        <v/>
      </c>
      <c r="L311" s="130" t="str">
        <f t="shared" si="22"/>
        <v/>
      </c>
      <c r="M311" s="130" t="str">
        <f t="shared" si="20"/>
        <v/>
      </c>
      <c r="N311" s="129"/>
      <c r="O311" s="131" t="str">
        <f>IF($B311="","",'Qredits maandlasten'!$C$8)</f>
        <v/>
      </c>
      <c r="P311" s="131" t="str">
        <f>IF($B311="","",'Qredits maandlasten'!$C$8*(POWER(1+'Qredits maandlasten'!$C$8,$B311-1+1)))</f>
        <v/>
      </c>
      <c r="Q311" s="131" t="str">
        <f t="shared" si="23"/>
        <v/>
      </c>
      <c r="R311" s="129"/>
      <c r="S311" s="130" t="str">
        <f t="shared" si="21"/>
        <v/>
      </c>
      <c r="T311" s="130" t="str">
        <f>IF(S311="","",J311/(POWER(1+'Qredits maandlasten'!$C$8,$B311-1+1)))</f>
        <v/>
      </c>
      <c r="U311" s="132" t="str">
        <f t="shared" si="24"/>
        <v/>
      </c>
      <c r="V311" s="130" t="str">
        <f>IF($B311="","",K311/(POWER(1+'Qredits maandlasten'!$C$8,$B311-1+1)))</f>
        <v/>
      </c>
      <c r="W311" s="129"/>
    </row>
    <row r="312" spans="1:23" s="134" customFormat="1" x14ac:dyDescent="0.2">
      <c r="A312" s="125"/>
      <c r="B312" s="126" t="str">
        <f>IF($B311="","",IF($B311+1&gt;'Qredits maandlasten'!$C$4,"",Schema!B311+1))</f>
        <v/>
      </c>
      <c r="C312" s="127" t="str">
        <f>IF($B311="","",IF($B311+1&gt;'Qredits maandlasten'!$C$4,"",EOMONTH(C311,0)+1))</f>
        <v/>
      </c>
      <c r="D312" s="125"/>
      <c r="E312" s="127" t="str">
        <f>IF($B311="","",IF($B311+1&gt;'Qredits maandlasten'!$C$4,"",F311+1))</f>
        <v/>
      </c>
      <c r="F312" s="127" t="str">
        <f>IF($B311="","",IF($B311+1&gt;'Qredits maandlasten'!$C$4,"",EOMONTH(E312,0)))</f>
        <v/>
      </c>
      <c r="G312" s="128" t="str">
        <f>IF($B311="","",IF($B311+1&gt;'Qredits maandlasten'!$C$4,"",(_xlfn.DAYS(F312,E312)+1)/DAY(F312)))</f>
        <v/>
      </c>
      <c r="H312" s="129"/>
      <c r="I312" s="130" t="str">
        <f>IF($B311="","",IF($B311+1&gt;'Qredits maandlasten'!$C$4,"",I311-J311))</f>
        <v/>
      </c>
      <c r="J312" s="130" t="str">
        <f>IF($B311="","",IF($B311+1&gt;'Qredits maandlasten'!$C$4,"",IF(B311&lt;'Qredits maandlasten'!$C$11-1,0,IF('Qredits maandlasten'!$C$10=dropdowns!$A$93,'Qredits maandlasten'!$J$3,IF('Qredits maandlasten'!$C$10=dropdowns!$A$92,IFERROR('Qredits maandlasten'!$J$3-K312,0),0)))))</f>
        <v/>
      </c>
      <c r="K312" s="130" t="str">
        <f>IF($B311="","",IF($B311+1&gt;'Qredits maandlasten'!$C$4,"",G312*I312*'Qredits maandlasten'!$C$8))</f>
        <v/>
      </c>
      <c r="L312" s="130" t="str">
        <f t="shared" si="22"/>
        <v/>
      </c>
      <c r="M312" s="130" t="str">
        <f t="shared" si="20"/>
        <v/>
      </c>
      <c r="N312" s="129"/>
      <c r="O312" s="131" t="str">
        <f>IF($B312="","",'Qredits maandlasten'!$C$8)</f>
        <v/>
      </c>
      <c r="P312" s="131" t="str">
        <f>IF($B312="","",'Qredits maandlasten'!$C$8*(POWER(1+'Qredits maandlasten'!$C$8,$B312-1+1)))</f>
        <v/>
      </c>
      <c r="Q312" s="131" t="str">
        <f t="shared" si="23"/>
        <v/>
      </c>
      <c r="R312" s="129"/>
      <c r="S312" s="130" t="str">
        <f t="shared" si="21"/>
        <v/>
      </c>
      <c r="T312" s="130" t="str">
        <f>IF(S312="","",J312/(POWER(1+'Qredits maandlasten'!$C$8,$B312-1+1)))</f>
        <v/>
      </c>
      <c r="U312" s="132" t="str">
        <f t="shared" si="24"/>
        <v/>
      </c>
      <c r="V312" s="130" t="str">
        <f>IF($B312="","",K312/(POWER(1+'Qredits maandlasten'!$C$8,$B312-1+1)))</f>
        <v/>
      </c>
      <c r="W312" s="129"/>
    </row>
    <row r="313" spans="1:23" s="134" customFormat="1" x14ac:dyDescent="0.2">
      <c r="A313" s="125"/>
      <c r="B313" s="126" t="str">
        <f>IF($B312="","",IF($B312+1&gt;'Qredits maandlasten'!$C$4,"",Schema!B312+1))</f>
        <v/>
      </c>
      <c r="C313" s="127" t="str">
        <f>IF($B312="","",IF($B312+1&gt;'Qredits maandlasten'!$C$4,"",EOMONTH(C312,0)+1))</f>
        <v/>
      </c>
      <c r="D313" s="125"/>
      <c r="E313" s="127" t="str">
        <f>IF($B312="","",IF($B312+1&gt;'Qredits maandlasten'!$C$4,"",F312+1))</f>
        <v/>
      </c>
      <c r="F313" s="127" t="str">
        <f>IF($B312="","",IF($B312+1&gt;'Qredits maandlasten'!$C$4,"",EOMONTH(E313,0)))</f>
        <v/>
      </c>
      <c r="G313" s="128" t="str">
        <f>IF($B312="","",IF($B312+1&gt;'Qredits maandlasten'!$C$4,"",(_xlfn.DAYS(F313,E313)+1)/DAY(F313)))</f>
        <v/>
      </c>
      <c r="H313" s="129"/>
      <c r="I313" s="130" t="str">
        <f>IF($B312="","",IF($B312+1&gt;'Qredits maandlasten'!$C$4,"",I312-J312))</f>
        <v/>
      </c>
      <c r="J313" s="130" t="str">
        <f>IF($B312="","",IF($B312+1&gt;'Qredits maandlasten'!$C$4,"",IF(B312&lt;'Qredits maandlasten'!$C$11-1,0,IF('Qredits maandlasten'!$C$10=dropdowns!$A$93,'Qredits maandlasten'!$J$3,IF('Qredits maandlasten'!$C$10=dropdowns!$A$92,IFERROR('Qredits maandlasten'!$J$3-K313,0),0)))))</f>
        <v/>
      </c>
      <c r="K313" s="130" t="str">
        <f>IF($B312="","",IF($B312+1&gt;'Qredits maandlasten'!$C$4,"",G313*I313*'Qredits maandlasten'!$C$8))</f>
        <v/>
      </c>
      <c r="L313" s="130" t="str">
        <f t="shared" si="22"/>
        <v/>
      </c>
      <c r="M313" s="130" t="str">
        <f t="shared" si="20"/>
        <v/>
      </c>
      <c r="N313" s="129"/>
      <c r="O313" s="131" t="str">
        <f>IF($B313="","",'Qredits maandlasten'!$C$8)</f>
        <v/>
      </c>
      <c r="P313" s="131" t="str">
        <f>IF($B313="","",'Qredits maandlasten'!$C$8*(POWER(1+'Qredits maandlasten'!$C$8,$B313-1+1)))</f>
        <v/>
      </c>
      <c r="Q313" s="131" t="str">
        <f t="shared" si="23"/>
        <v/>
      </c>
      <c r="R313" s="129"/>
      <c r="S313" s="130" t="str">
        <f t="shared" si="21"/>
        <v/>
      </c>
      <c r="T313" s="130" t="str">
        <f>IF(S313="","",J313/(POWER(1+'Qredits maandlasten'!$C$8,$B313-1+1)))</f>
        <v/>
      </c>
      <c r="U313" s="132" t="str">
        <f t="shared" si="24"/>
        <v/>
      </c>
      <c r="V313" s="130" t="str">
        <f>IF($B313="","",K313/(POWER(1+'Qredits maandlasten'!$C$8,$B313-1+1)))</f>
        <v/>
      </c>
      <c r="W313" s="129"/>
    </row>
    <row r="314" spans="1:23" s="134" customFormat="1" x14ac:dyDescent="0.2">
      <c r="A314" s="125"/>
      <c r="B314" s="126" t="str">
        <f>IF($B313="","",IF($B313+1&gt;'Qredits maandlasten'!$C$4,"",Schema!B313+1))</f>
        <v/>
      </c>
      <c r="C314" s="127" t="str">
        <f>IF($B313="","",IF($B313+1&gt;'Qredits maandlasten'!$C$4,"",EOMONTH(C313,0)+1))</f>
        <v/>
      </c>
      <c r="D314" s="125"/>
      <c r="E314" s="127" t="str">
        <f>IF($B313="","",IF($B313+1&gt;'Qredits maandlasten'!$C$4,"",F313+1))</f>
        <v/>
      </c>
      <c r="F314" s="127" t="str">
        <f>IF($B313="","",IF($B313+1&gt;'Qredits maandlasten'!$C$4,"",EOMONTH(E314,0)))</f>
        <v/>
      </c>
      <c r="G314" s="128" t="str">
        <f>IF($B313="","",IF($B313+1&gt;'Qredits maandlasten'!$C$4,"",(_xlfn.DAYS(F314,E314)+1)/DAY(F314)))</f>
        <v/>
      </c>
      <c r="H314" s="129"/>
      <c r="I314" s="130" t="str">
        <f>IF($B313="","",IF($B313+1&gt;'Qredits maandlasten'!$C$4,"",I313-J313))</f>
        <v/>
      </c>
      <c r="J314" s="130" t="str">
        <f>IF($B313="","",IF($B313+1&gt;'Qredits maandlasten'!$C$4,"",IF(B313&lt;'Qredits maandlasten'!$C$11-1,0,IF('Qredits maandlasten'!$C$10=dropdowns!$A$93,'Qredits maandlasten'!$J$3,IF('Qredits maandlasten'!$C$10=dropdowns!$A$92,IFERROR('Qredits maandlasten'!$J$3-K314,0),0)))))</f>
        <v/>
      </c>
      <c r="K314" s="130" t="str">
        <f>IF($B313="","",IF($B313+1&gt;'Qredits maandlasten'!$C$4,"",G314*I314*'Qredits maandlasten'!$C$8))</f>
        <v/>
      </c>
      <c r="L314" s="130" t="str">
        <f t="shared" si="22"/>
        <v/>
      </c>
      <c r="M314" s="130" t="str">
        <f t="shared" si="20"/>
        <v/>
      </c>
      <c r="N314" s="129"/>
      <c r="O314" s="131" t="str">
        <f>IF($B314="","",'Qredits maandlasten'!$C$8)</f>
        <v/>
      </c>
      <c r="P314" s="131" t="str">
        <f>IF($B314="","",'Qredits maandlasten'!$C$8*(POWER(1+'Qredits maandlasten'!$C$8,$B314-1+1)))</f>
        <v/>
      </c>
      <c r="Q314" s="131" t="str">
        <f t="shared" si="23"/>
        <v/>
      </c>
      <c r="R314" s="129"/>
      <c r="S314" s="130" t="str">
        <f t="shared" si="21"/>
        <v/>
      </c>
      <c r="T314" s="130" t="str">
        <f>IF(S314="","",J314/(POWER(1+'Qredits maandlasten'!$C$8,$B314-1+1)))</f>
        <v/>
      </c>
      <c r="U314" s="132" t="str">
        <f t="shared" si="24"/>
        <v/>
      </c>
      <c r="V314" s="130" t="str">
        <f>IF($B314="","",K314/(POWER(1+'Qredits maandlasten'!$C$8,$B314-1+1)))</f>
        <v/>
      </c>
      <c r="W314" s="129"/>
    </row>
    <row r="315" spans="1:23" s="134" customFormat="1" x14ac:dyDescent="0.2">
      <c r="A315" s="125"/>
      <c r="B315" s="126" t="str">
        <f>IF($B314="","",IF($B314+1&gt;'Qredits maandlasten'!$C$4,"",Schema!B314+1))</f>
        <v/>
      </c>
      <c r="C315" s="127" t="str">
        <f>IF($B314="","",IF($B314+1&gt;'Qredits maandlasten'!$C$4,"",EOMONTH(C314,0)+1))</f>
        <v/>
      </c>
      <c r="D315" s="125"/>
      <c r="E315" s="127" t="str">
        <f>IF($B314="","",IF($B314+1&gt;'Qredits maandlasten'!$C$4,"",F314+1))</f>
        <v/>
      </c>
      <c r="F315" s="127" t="str">
        <f>IF($B314="","",IF($B314+1&gt;'Qredits maandlasten'!$C$4,"",EOMONTH(E315,0)))</f>
        <v/>
      </c>
      <c r="G315" s="128" t="str">
        <f>IF($B314="","",IF($B314+1&gt;'Qredits maandlasten'!$C$4,"",(_xlfn.DAYS(F315,E315)+1)/DAY(F315)))</f>
        <v/>
      </c>
      <c r="H315" s="129"/>
      <c r="I315" s="130" t="str">
        <f>IF($B314="","",IF($B314+1&gt;'Qredits maandlasten'!$C$4,"",I314-J314))</f>
        <v/>
      </c>
      <c r="J315" s="130" t="str">
        <f>IF($B314="","",IF($B314+1&gt;'Qredits maandlasten'!$C$4,"",IF(B314&lt;'Qredits maandlasten'!$C$11-1,0,IF('Qredits maandlasten'!$C$10=dropdowns!$A$93,'Qredits maandlasten'!$J$3,IF('Qredits maandlasten'!$C$10=dropdowns!$A$92,IFERROR('Qredits maandlasten'!$J$3-K315,0),0)))))</f>
        <v/>
      </c>
      <c r="K315" s="130" t="str">
        <f>IF($B314="","",IF($B314+1&gt;'Qredits maandlasten'!$C$4,"",G315*I315*'Qredits maandlasten'!$C$8))</f>
        <v/>
      </c>
      <c r="L315" s="130" t="str">
        <f t="shared" si="22"/>
        <v/>
      </c>
      <c r="M315" s="130" t="str">
        <f t="shared" si="20"/>
        <v/>
      </c>
      <c r="N315" s="129"/>
      <c r="O315" s="131" t="str">
        <f>IF($B315="","",'Qredits maandlasten'!$C$8)</f>
        <v/>
      </c>
      <c r="P315" s="131" t="str">
        <f>IF($B315="","",'Qredits maandlasten'!$C$8*(POWER(1+'Qredits maandlasten'!$C$8,$B315-1+1)))</f>
        <v/>
      </c>
      <c r="Q315" s="131" t="str">
        <f t="shared" si="23"/>
        <v/>
      </c>
      <c r="R315" s="129"/>
      <c r="S315" s="130" t="str">
        <f t="shared" si="21"/>
        <v/>
      </c>
      <c r="T315" s="130" t="str">
        <f>IF(S315="","",J315/(POWER(1+'Qredits maandlasten'!$C$8,$B315-1+1)))</f>
        <v/>
      </c>
      <c r="U315" s="132" t="str">
        <f t="shared" si="24"/>
        <v/>
      </c>
      <c r="V315" s="130" t="str">
        <f>IF($B315="","",K315/(POWER(1+'Qredits maandlasten'!$C$8,$B315-1+1)))</f>
        <v/>
      </c>
      <c r="W315" s="129"/>
    </row>
    <row r="316" spans="1:23" s="134" customFormat="1" x14ac:dyDescent="0.2">
      <c r="A316" s="125"/>
      <c r="B316" s="126" t="str">
        <f>IF($B315="","",IF($B315+1&gt;'Qredits maandlasten'!$C$4,"",Schema!B315+1))</f>
        <v/>
      </c>
      <c r="C316" s="127" t="str">
        <f>IF($B315="","",IF($B315+1&gt;'Qredits maandlasten'!$C$4,"",EOMONTH(C315,0)+1))</f>
        <v/>
      </c>
      <c r="D316" s="125"/>
      <c r="E316" s="127" t="str">
        <f>IF($B315="","",IF($B315+1&gt;'Qredits maandlasten'!$C$4,"",F315+1))</f>
        <v/>
      </c>
      <c r="F316" s="127" t="str">
        <f>IF($B315="","",IF($B315+1&gt;'Qredits maandlasten'!$C$4,"",EOMONTH(E316,0)))</f>
        <v/>
      </c>
      <c r="G316" s="128" t="str">
        <f>IF($B315="","",IF($B315+1&gt;'Qredits maandlasten'!$C$4,"",(_xlfn.DAYS(F316,E316)+1)/DAY(F316)))</f>
        <v/>
      </c>
      <c r="H316" s="129"/>
      <c r="I316" s="130" t="str">
        <f>IF($B315="","",IF($B315+1&gt;'Qredits maandlasten'!$C$4,"",I315-J315))</f>
        <v/>
      </c>
      <c r="J316" s="130" t="str">
        <f>IF($B315="","",IF($B315+1&gt;'Qredits maandlasten'!$C$4,"",IF(B315&lt;'Qredits maandlasten'!$C$11-1,0,IF('Qredits maandlasten'!$C$10=dropdowns!$A$93,'Qredits maandlasten'!$J$3,IF('Qredits maandlasten'!$C$10=dropdowns!$A$92,IFERROR('Qredits maandlasten'!$J$3-K316,0),0)))))</f>
        <v/>
      </c>
      <c r="K316" s="130" t="str">
        <f>IF($B315="","",IF($B315+1&gt;'Qredits maandlasten'!$C$4,"",G316*I316*'Qredits maandlasten'!$C$8))</f>
        <v/>
      </c>
      <c r="L316" s="130" t="str">
        <f t="shared" si="22"/>
        <v/>
      </c>
      <c r="M316" s="130" t="str">
        <f t="shared" si="20"/>
        <v/>
      </c>
      <c r="N316" s="129"/>
      <c r="O316" s="131" t="str">
        <f>IF($B316="","",'Qredits maandlasten'!$C$8)</f>
        <v/>
      </c>
      <c r="P316" s="131" t="str">
        <f>IF($B316="","",'Qredits maandlasten'!$C$8*(POWER(1+'Qredits maandlasten'!$C$8,$B316-1+1)))</f>
        <v/>
      </c>
      <c r="Q316" s="131" t="str">
        <f t="shared" si="23"/>
        <v/>
      </c>
      <c r="R316" s="129"/>
      <c r="S316" s="130" t="str">
        <f t="shared" si="21"/>
        <v/>
      </c>
      <c r="T316" s="130" t="str">
        <f>IF(S316="","",J316/(POWER(1+'Qredits maandlasten'!$C$8,$B316-1+1)))</f>
        <v/>
      </c>
      <c r="U316" s="132" t="str">
        <f t="shared" si="24"/>
        <v/>
      </c>
      <c r="V316" s="130" t="str">
        <f>IF($B316="","",K316/(POWER(1+'Qredits maandlasten'!$C$8,$B316-1+1)))</f>
        <v/>
      </c>
      <c r="W316" s="129"/>
    </row>
    <row r="317" spans="1:23" s="134" customFormat="1" x14ac:dyDescent="0.2">
      <c r="A317" s="125"/>
      <c r="B317" s="126" t="str">
        <f>IF($B316="","",IF($B316+1&gt;'Qredits maandlasten'!$C$4,"",Schema!B316+1))</f>
        <v/>
      </c>
      <c r="C317" s="127" t="str">
        <f>IF($B316="","",IF($B316+1&gt;'Qredits maandlasten'!$C$4,"",EOMONTH(C316,0)+1))</f>
        <v/>
      </c>
      <c r="D317" s="125"/>
      <c r="E317" s="127" t="str">
        <f>IF($B316="","",IF($B316+1&gt;'Qredits maandlasten'!$C$4,"",F316+1))</f>
        <v/>
      </c>
      <c r="F317" s="127" t="str">
        <f>IF($B316="","",IF($B316+1&gt;'Qredits maandlasten'!$C$4,"",EOMONTH(E317,0)))</f>
        <v/>
      </c>
      <c r="G317" s="128" t="str">
        <f>IF($B316="","",IF($B316+1&gt;'Qredits maandlasten'!$C$4,"",(_xlfn.DAYS(F317,E317)+1)/DAY(F317)))</f>
        <v/>
      </c>
      <c r="H317" s="129"/>
      <c r="I317" s="130" t="str">
        <f>IF($B316="","",IF($B316+1&gt;'Qredits maandlasten'!$C$4,"",I316-J316))</f>
        <v/>
      </c>
      <c r="J317" s="130" t="str">
        <f>IF($B316="","",IF($B316+1&gt;'Qredits maandlasten'!$C$4,"",IF(B316&lt;'Qredits maandlasten'!$C$11-1,0,IF('Qredits maandlasten'!$C$10=dropdowns!$A$93,'Qredits maandlasten'!$J$3,IF('Qredits maandlasten'!$C$10=dropdowns!$A$92,IFERROR('Qredits maandlasten'!$J$3-K317,0),0)))))</f>
        <v/>
      </c>
      <c r="K317" s="130" t="str">
        <f>IF($B316="","",IF($B316+1&gt;'Qredits maandlasten'!$C$4,"",G317*I317*'Qredits maandlasten'!$C$8))</f>
        <v/>
      </c>
      <c r="L317" s="130" t="str">
        <f t="shared" si="22"/>
        <v/>
      </c>
      <c r="M317" s="130" t="str">
        <f t="shared" si="20"/>
        <v/>
      </c>
      <c r="N317" s="129"/>
      <c r="O317" s="131" t="str">
        <f>IF($B317="","",'Qredits maandlasten'!$C$8)</f>
        <v/>
      </c>
      <c r="P317" s="131" t="str">
        <f>IF($B317="","",'Qredits maandlasten'!$C$8*(POWER(1+'Qredits maandlasten'!$C$8,$B317-1+1)))</f>
        <v/>
      </c>
      <c r="Q317" s="131" t="str">
        <f t="shared" si="23"/>
        <v/>
      </c>
      <c r="R317" s="129"/>
      <c r="S317" s="130" t="str">
        <f t="shared" si="21"/>
        <v/>
      </c>
      <c r="T317" s="130" t="str">
        <f>IF(S317="","",J317/(POWER(1+'Qredits maandlasten'!$C$8,$B317-1+1)))</f>
        <v/>
      </c>
      <c r="U317" s="132" t="str">
        <f t="shared" si="24"/>
        <v/>
      </c>
      <c r="V317" s="130" t="str">
        <f>IF($B317="","",K317/(POWER(1+'Qredits maandlasten'!$C$8,$B317-1+1)))</f>
        <v/>
      </c>
      <c r="W317" s="129"/>
    </row>
    <row r="318" spans="1:23" s="134" customFormat="1" x14ac:dyDescent="0.2">
      <c r="A318" s="125"/>
      <c r="B318" s="126" t="str">
        <f>IF($B317="","",IF($B317+1&gt;'Qredits maandlasten'!$C$4,"",Schema!B317+1))</f>
        <v/>
      </c>
      <c r="C318" s="127" t="str">
        <f>IF($B317="","",IF($B317+1&gt;'Qredits maandlasten'!$C$4,"",EOMONTH(C317,0)+1))</f>
        <v/>
      </c>
      <c r="D318" s="125"/>
      <c r="E318" s="127" t="str">
        <f>IF($B317="","",IF($B317+1&gt;'Qredits maandlasten'!$C$4,"",F317+1))</f>
        <v/>
      </c>
      <c r="F318" s="127" t="str">
        <f>IF($B317="","",IF($B317+1&gt;'Qredits maandlasten'!$C$4,"",EOMONTH(E318,0)))</f>
        <v/>
      </c>
      <c r="G318" s="128" t="str">
        <f>IF($B317="","",IF($B317+1&gt;'Qredits maandlasten'!$C$4,"",(_xlfn.DAYS(F318,E318)+1)/DAY(F318)))</f>
        <v/>
      </c>
      <c r="H318" s="129"/>
      <c r="I318" s="130" t="str">
        <f>IF($B317="","",IF($B317+1&gt;'Qredits maandlasten'!$C$4,"",I317-J317))</f>
        <v/>
      </c>
      <c r="J318" s="130" t="str">
        <f>IF($B317="","",IF($B317+1&gt;'Qredits maandlasten'!$C$4,"",IF(B317&lt;'Qredits maandlasten'!$C$11-1,0,IF('Qredits maandlasten'!$C$10=dropdowns!$A$93,'Qredits maandlasten'!$J$3,IF('Qredits maandlasten'!$C$10=dropdowns!$A$92,IFERROR('Qredits maandlasten'!$J$3-K318,0),0)))))</f>
        <v/>
      </c>
      <c r="K318" s="130" t="str">
        <f>IF($B317="","",IF($B317+1&gt;'Qredits maandlasten'!$C$4,"",G318*I318*'Qredits maandlasten'!$C$8))</f>
        <v/>
      </c>
      <c r="L318" s="130" t="str">
        <f t="shared" si="22"/>
        <v/>
      </c>
      <c r="M318" s="130" t="str">
        <f t="shared" si="20"/>
        <v/>
      </c>
      <c r="N318" s="129"/>
      <c r="O318" s="131" t="str">
        <f>IF($B318="","",'Qredits maandlasten'!$C$8)</f>
        <v/>
      </c>
      <c r="P318" s="131" t="str">
        <f>IF($B318="","",'Qredits maandlasten'!$C$8*(POWER(1+'Qredits maandlasten'!$C$8,$B318-1+1)))</f>
        <v/>
      </c>
      <c r="Q318" s="131" t="str">
        <f t="shared" si="23"/>
        <v/>
      </c>
      <c r="R318" s="129"/>
      <c r="S318" s="130" t="str">
        <f t="shared" si="21"/>
        <v/>
      </c>
      <c r="T318" s="130" t="str">
        <f>IF(S318="","",J318/(POWER(1+'Qredits maandlasten'!$C$8,$B318-1+1)))</f>
        <v/>
      </c>
      <c r="U318" s="132" t="str">
        <f t="shared" si="24"/>
        <v/>
      </c>
      <c r="V318" s="130" t="str">
        <f>IF($B318="","",K318/(POWER(1+'Qredits maandlasten'!$C$8,$B318-1+1)))</f>
        <v/>
      </c>
      <c r="W318" s="129"/>
    </row>
    <row r="319" spans="1:23" s="134" customFormat="1" x14ac:dyDescent="0.2">
      <c r="A319" s="125"/>
      <c r="B319" s="126" t="str">
        <f>IF($B318="","",IF($B318+1&gt;'Qredits maandlasten'!$C$4,"",Schema!B318+1))</f>
        <v/>
      </c>
      <c r="C319" s="127" t="str">
        <f>IF($B318="","",IF($B318+1&gt;'Qredits maandlasten'!$C$4,"",EOMONTH(C318,0)+1))</f>
        <v/>
      </c>
      <c r="D319" s="125"/>
      <c r="E319" s="127" t="str">
        <f>IF($B318="","",IF($B318+1&gt;'Qredits maandlasten'!$C$4,"",F318+1))</f>
        <v/>
      </c>
      <c r="F319" s="127" t="str">
        <f>IF($B318="","",IF($B318+1&gt;'Qredits maandlasten'!$C$4,"",EOMONTH(E319,0)))</f>
        <v/>
      </c>
      <c r="G319" s="128" t="str">
        <f>IF($B318="","",IF($B318+1&gt;'Qredits maandlasten'!$C$4,"",(_xlfn.DAYS(F319,E319)+1)/DAY(F319)))</f>
        <v/>
      </c>
      <c r="H319" s="129"/>
      <c r="I319" s="130" t="str">
        <f>IF($B318="","",IF($B318+1&gt;'Qredits maandlasten'!$C$4,"",I318-J318))</f>
        <v/>
      </c>
      <c r="J319" s="130" t="str">
        <f>IF($B318="","",IF($B318+1&gt;'Qredits maandlasten'!$C$4,"",IF(B318&lt;'Qredits maandlasten'!$C$11-1,0,IF('Qredits maandlasten'!$C$10=dropdowns!$A$93,'Qredits maandlasten'!$J$3,IF('Qredits maandlasten'!$C$10=dropdowns!$A$92,IFERROR('Qredits maandlasten'!$J$3-K319,0),0)))))</f>
        <v/>
      </c>
      <c r="K319" s="130" t="str">
        <f>IF($B318="","",IF($B318+1&gt;'Qredits maandlasten'!$C$4,"",G319*I319*'Qredits maandlasten'!$C$8))</f>
        <v/>
      </c>
      <c r="L319" s="130" t="str">
        <f t="shared" si="22"/>
        <v/>
      </c>
      <c r="M319" s="130" t="str">
        <f t="shared" si="20"/>
        <v/>
      </c>
      <c r="N319" s="129"/>
      <c r="O319" s="131" t="str">
        <f>IF($B319="","",'Qredits maandlasten'!$C$8)</f>
        <v/>
      </c>
      <c r="P319" s="131" t="str">
        <f>IF($B319="","",'Qredits maandlasten'!$C$8*(POWER(1+'Qredits maandlasten'!$C$8,$B319-1+1)))</f>
        <v/>
      </c>
      <c r="Q319" s="131" t="str">
        <f t="shared" si="23"/>
        <v/>
      </c>
      <c r="R319" s="129"/>
      <c r="S319" s="130" t="str">
        <f t="shared" si="21"/>
        <v/>
      </c>
      <c r="T319" s="130" t="str">
        <f>IF(S319="","",J319/(POWER(1+'Qredits maandlasten'!$C$8,$B319-1+1)))</f>
        <v/>
      </c>
      <c r="U319" s="132" t="str">
        <f t="shared" si="24"/>
        <v/>
      </c>
      <c r="V319" s="130" t="str">
        <f>IF($B319="","",K319/(POWER(1+'Qredits maandlasten'!$C$8,$B319-1+1)))</f>
        <v/>
      </c>
      <c r="W319" s="129"/>
    </row>
    <row r="320" spans="1:23" s="134" customFormat="1" x14ac:dyDescent="0.2">
      <c r="A320" s="125"/>
      <c r="B320" s="126" t="str">
        <f>IF($B319="","",IF($B319+1&gt;'Qredits maandlasten'!$C$4,"",Schema!B319+1))</f>
        <v/>
      </c>
      <c r="C320" s="127" t="str">
        <f>IF($B319="","",IF($B319+1&gt;'Qredits maandlasten'!$C$4,"",EOMONTH(C319,0)+1))</f>
        <v/>
      </c>
      <c r="D320" s="125"/>
      <c r="E320" s="127" t="str">
        <f>IF($B319="","",IF($B319+1&gt;'Qredits maandlasten'!$C$4,"",F319+1))</f>
        <v/>
      </c>
      <c r="F320" s="127" t="str">
        <f>IF($B319="","",IF($B319+1&gt;'Qredits maandlasten'!$C$4,"",EOMONTH(E320,0)))</f>
        <v/>
      </c>
      <c r="G320" s="128" t="str">
        <f>IF($B319="","",IF($B319+1&gt;'Qredits maandlasten'!$C$4,"",(_xlfn.DAYS(F320,E320)+1)/DAY(F320)))</f>
        <v/>
      </c>
      <c r="H320" s="129"/>
      <c r="I320" s="130" t="str">
        <f>IF($B319="","",IF($B319+1&gt;'Qredits maandlasten'!$C$4,"",I319-J319))</f>
        <v/>
      </c>
      <c r="J320" s="130" t="str">
        <f>IF($B319="","",IF($B319+1&gt;'Qredits maandlasten'!$C$4,"",IF(B319&lt;'Qredits maandlasten'!$C$11-1,0,IF('Qredits maandlasten'!$C$10=dropdowns!$A$93,'Qredits maandlasten'!$J$3,IF('Qredits maandlasten'!$C$10=dropdowns!$A$92,IFERROR('Qredits maandlasten'!$J$3-K320,0),0)))))</f>
        <v/>
      </c>
      <c r="K320" s="130" t="str">
        <f>IF($B319="","",IF($B319+1&gt;'Qredits maandlasten'!$C$4,"",G320*I320*'Qredits maandlasten'!$C$8))</f>
        <v/>
      </c>
      <c r="L320" s="130" t="str">
        <f t="shared" si="22"/>
        <v/>
      </c>
      <c r="M320" s="130" t="str">
        <f t="shared" si="20"/>
        <v/>
      </c>
      <c r="N320" s="129"/>
      <c r="O320" s="131" t="str">
        <f>IF($B320="","",'Qredits maandlasten'!$C$8)</f>
        <v/>
      </c>
      <c r="P320" s="131" t="str">
        <f>IF($B320="","",'Qredits maandlasten'!$C$8*(POWER(1+'Qredits maandlasten'!$C$8,$B320-1+1)))</f>
        <v/>
      </c>
      <c r="Q320" s="131" t="str">
        <f t="shared" si="23"/>
        <v/>
      </c>
      <c r="R320" s="129"/>
      <c r="S320" s="130" t="str">
        <f t="shared" si="21"/>
        <v/>
      </c>
      <c r="T320" s="130" t="str">
        <f>IF(S320="","",J320/(POWER(1+'Qredits maandlasten'!$C$8,$B320-1+1)))</f>
        <v/>
      </c>
      <c r="U320" s="132" t="str">
        <f t="shared" si="24"/>
        <v/>
      </c>
      <c r="V320" s="130" t="str">
        <f>IF($B320="","",K320/(POWER(1+'Qredits maandlasten'!$C$8,$B320-1+1)))</f>
        <v/>
      </c>
      <c r="W320" s="129"/>
    </row>
    <row r="321" spans="1:23" s="134" customFormat="1" x14ac:dyDescent="0.2">
      <c r="A321" s="125"/>
      <c r="B321" s="126" t="str">
        <f>IF($B320="","",IF($B320+1&gt;'Qredits maandlasten'!$C$4,"",Schema!B320+1))</f>
        <v/>
      </c>
      <c r="C321" s="127" t="str">
        <f>IF($B320="","",IF($B320+1&gt;'Qredits maandlasten'!$C$4,"",EOMONTH(C320,0)+1))</f>
        <v/>
      </c>
      <c r="D321" s="125"/>
      <c r="E321" s="127" t="str">
        <f>IF($B320="","",IF($B320+1&gt;'Qredits maandlasten'!$C$4,"",F320+1))</f>
        <v/>
      </c>
      <c r="F321" s="127" t="str">
        <f>IF($B320="","",IF($B320+1&gt;'Qredits maandlasten'!$C$4,"",EOMONTH(E321,0)))</f>
        <v/>
      </c>
      <c r="G321" s="128" t="str">
        <f>IF($B320="","",IF($B320+1&gt;'Qredits maandlasten'!$C$4,"",(_xlfn.DAYS(F321,E321)+1)/DAY(F321)))</f>
        <v/>
      </c>
      <c r="H321" s="129"/>
      <c r="I321" s="130" t="str">
        <f>IF($B320="","",IF($B320+1&gt;'Qredits maandlasten'!$C$4,"",I320-J320))</f>
        <v/>
      </c>
      <c r="J321" s="130" t="str">
        <f>IF($B320="","",IF($B320+1&gt;'Qredits maandlasten'!$C$4,"",IF(B320&lt;'Qredits maandlasten'!$C$11-1,0,IF('Qredits maandlasten'!$C$10=dropdowns!$A$93,'Qredits maandlasten'!$J$3,IF('Qredits maandlasten'!$C$10=dropdowns!$A$92,IFERROR('Qredits maandlasten'!$J$3-K321,0),0)))))</f>
        <v/>
      </c>
      <c r="K321" s="130" t="str">
        <f>IF($B320="","",IF($B320+1&gt;'Qredits maandlasten'!$C$4,"",G321*I321*'Qredits maandlasten'!$C$8))</f>
        <v/>
      </c>
      <c r="L321" s="130" t="str">
        <f t="shared" si="22"/>
        <v/>
      </c>
      <c r="M321" s="130" t="str">
        <f t="shared" si="20"/>
        <v/>
      </c>
      <c r="N321" s="129"/>
      <c r="O321" s="131" t="str">
        <f>IF($B321="","",'Qredits maandlasten'!$C$8)</f>
        <v/>
      </c>
      <c r="P321" s="131" t="str">
        <f>IF($B321="","",'Qredits maandlasten'!$C$8*(POWER(1+'Qredits maandlasten'!$C$8,$B321-1+1)))</f>
        <v/>
      </c>
      <c r="Q321" s="131" t="str">
        <f t="shared" si="23"/>
        <v/>
      </c>
      <c r="R321" s="129"/>
      <c r="S321" s="130" t="str">
        <f t="shared" si="21"/>
        <v/>
      </c>
      <c r="T321" s="130" t="str">
        <f>IF(S321="","",J321/(POWER(1+'Qredits maandlasten'!$C$8,$B321-1+1)))</f>
        <v/>
      </c>
      <c r="U321" s="132" t="str">
        <f t="shared" si="24"/>
        <v/>
      </c>
      <c r="V321" s="130" t="str">
        <f>IF($B321="","",K321/(POWER(1+'Qredits maandlasten'!$C$8,$B321-1+1)))</f>
        <v/>
      </c>
      <c r="W321" s="129"/>
    </row>
    <row r="322" spans="1:23" s="134" customFormat="1" x14ac:dyDescent="0.2">
      <c r="A322" s="125"/>
      <c r="B322" s="126" t="str">
        <f>IF($B321="","",IF($B321+1&gt;'Qredits maandlasten'!$C$4,"",Schema!B321+1))</f>
        <v/>
      </c>
      <c r="C322" s="127" t="str">
        <f>IF($B321="","",IF($B321+1&gt;'Qredits maandlasten'!$C$4,"",EOMONTH(C321,0)+1))</f>
        <v/>
      </c>
      <c r="D322" s="125"/>
      <c r="E322" s="127" t="str">
        <f>IF($B321="","",IF($B321+1&gt;'Qredits maandlasten'!$C$4,"",F321+1))</f>
        <v/>
      </c>
      <c r="F322" s="127" t="str">
        <f>IF($B321="","",IF($B321+1&gt;'Qredits maandlasten'!$C$4,"",EOMONTH(E322,0)))</f>
        <v/>
      </c>
      <c r="G322" s="128" t="str">
        <f>IF($B321="","",IF($B321+1&gt;'Qredits maandlasten'!$C$4,"",(_xlfn.DAYS(F322,E322)+1)/DAY(F322)))</f>
        <v/>
      </c>
      <c r="H322" s="129"/>
      <c r="I322" s="130" t="str">
        <f>IF($B321="","",IF($B321+1&gt;'Qredits maandlasten'!$C$4,"",I321-J321))</f>
        <v/>
      </c>
      <c r="J322" s="130" t="str">
        <f>IF($B321="","",IF($B321+1&gt;'Qredits maandlasten'!$C$4,"",IF(B321&lt;'Qredits maandlasten'!$C$11-1,0,IF('Qredits maandlasten'!$C$10=dropdowns!$A$93,'Qredits maandlasten'!$J$3,IF('Qredits maandlasten'!$C$10=dropdowns!$A$92,IFERROR('Qredits maandlasten'!$J$3-K322,0),0)))))</f>
        <v/>
      </c>
      <c r="K322" s="130" t="str">
        <f>IF($B321="","",IF($B321+1&gt;'Qredits maandlasten'!$C$4,"",G322*I322*'Qredits maandlasten'!$C$8))</f>
        <v/>
      </c>
      <c r="L322" s="130" t="str">
        <f t="shared" si="22"/>
        <v/>
      </c>
      <c r="M322" s="130" t="str">
        <f t="shared" si="20"/>
        <v/>
      </c>
      <c r="N322" s="129"/>
      <c r="O322" s="131" t="str">
        <f>IF($B322="","",'Qredits maandlasten'!$C$8)</f>
        <v/>
      </c>
      <c r="P322" s="131" t="str">
        <f>IF($B322="","",'Qredits maandlasten'!$C$8*(POWER(1+'Qredits maandlasten'!$C$8,$B322-1+1)))</f>
        <v/>
      </c>
      <c r="Q322" s="131" t="str">
        <f t="shared" si="23"/>
        <v/>
      </c>
      <c r="R322" s="129"/>
      <c r="S322" s="130" t="str">
        <f t="shared" si="21"/>
        <v/>
      </c>
      <c r="T322" s="130" t="str">
        <f>IF(S322="","",J322/(POWER(1+'Qredits maandlasten'!$C$8,$B322-1+1)))</f>
        <v/>
      </c>
      <c r="U322" s="132" t="str">
        <f t="shared" si="24"/>
        <v/>
      </c>
      <c r="V322" s="130" t="str">
        <f>IF($B322="","",K322/(POWER(1+'Qredits maandlasten'!$C$8,$B322-1+1)))</f>
        <v/>
      </c>
      <c r="W322" s="129"/>
    </row>
    <row r="323" spans="1:23" s="134" customFormat="1" x14ac:dyDescent="0.2">
      <c r="A323" s="125"/>
      <c r="B323" s="126" t="str">
        <f>IF($B322="","",IF($B322+1&gt;'Qredits maandlasten'!$C$4,"",Schema!B322+1))</f>
        <v/>
      </c>
      <c r="C323" s="127" t="str">
        <f>IF($B322="","",IF($B322+1&gt;'Qredits maandlasten'!$C$4,"",EOMONTH(C322,0)+1))</f>
        <v/>
      </c>
      <c r="D323" s="125"/>
      <c r="E323" s="127" t="str">
        <f>IF($B322="","",IF($B322+1&gt;'Qredits maandlasten'!$C$4,"",F322+1))</f>
        <v/>
      </c>
      <c r="F323" s="127" t="str">
        <f>IF($B322="","",IF($B322+1&gt;'Qredits maandlasten'!$C$4,"",EOMONTH(E323,0)))</f>
        <v/>
      </c>
      <c r="G323" s="128" t="str">
        <f>IF($B322="","",IF($B322+1&gt;'Qredits maandlasten'!$C$4,"",(_xlfn.DAYS(F323,E323)+1)/DAY(F323)))</f>
        <v/>
      </c>
      <c r="H323" s="129"/>
      <c r="I323" s="130" t="str">
        <f>IF($B322="","",IF($B322+1&gt;'Qredits maandlasten'!$C$4,"",I322-J322))</f>
        <v/>
      </c>
      <c r="J323" s="130" t="str">
        <f>IF($B322="","",IF($B322+1&gt;'Qredits maandlasten'!$C$4,"",IF(B322&lt;'Qredits maandlasten'!$C$11-1,0,IF('Qredits maandlasten'!$C$10=dropdowns!$A$93,'Qredits maandlasten'!$J$3,IF('Qredits maandlasten'!$C$10=dropdowns!$A$92,IFERROR('Qredits maandlasten'!$J$3-K323,0),0)))))</f>
        <v/>
      </c>
      <c r="K323" s="130" t="str">
        <f>IF($B322="","",IF($B322+1&gt;'Qredits maandlasten'!$C$4,"",G323*I323*'Qredits maandlasten'!$C$8))</f>
        <v/>
      </c>
      <c r="L323" s="130" t="str">
        <f t="shared" si="22"/>
        <v/>
      </c>
      <c r="M323" s="130" t="str">
        <f t="shared" si="20"/>
        <v/>
      </c>
      <c r="N323" s="129"/>
      <c r="O323" s="131" t="str">
        <f>IF($B323="","",'Qredits maandlasten'!$C$8)</f>
        <v/>
      </c>
      <c r="P323" s="131" t="str">
        <f>IF($B323="","",'Qredits maandlasten'!$C$8*(POWER(1+'Qredits maandlasten'!$C$8,$B323-1+1)))</f>
        <v/>
      </c>
      <c r="Q323" s="131" t="str">
        <f t="shared" si="23"/>
        <v/>
      </c>
      <c r="R323" s="129"/>
      <c r="S323" s="130" t="str">
        <f t="shared" si="21"/>
        <v/>
      </c>
      <c r="T323" s="130" t="str">
        <f>IF(S323="","",J323/(POWER(1+'Qredits maandlasten'!$C$8,$B323-1+1)))</f>
        <v/>
      </c>
      <c r="U323" s="132" t="str">
        <f t="shared" si="24"/>
        <v/>
      </c>
      <c r="V323" s="130" t="str">
        <f>IF($B323="","",K323/(POWER(1+'Qredits maandlasten'!$C$8,$B323-1+1)))</f>
        <v/>
      </c>
      <c r="W323" s="129"/>
    </row>
    <row r="324" spans="1:23" s="134" customFormat="1" x14ac:dyDescent="0.2">
      <c r="A324" s="125"/>
      <c r="B324" s="126" t="str">
        <f>IF($B323="","",IF($B323+1&gt;'Qredits maandlasten'!$C$4,"",Schema!B323+1))</f>
        <v/>
      </c>
      <c r="C324" s="127" t="str">
        <f>IF($B323="","",IF($B323+1&gt;'Qredits maandlasten'!$C$4,"",EOMONTH(C323,0)+1))</f>
        <v/>
      </c>
      <c r="D324" s="125"/>
      <c r="E324" s="127" t="str">
        <f>IF($B323="","",IF($B323+1&gt;'Qredits maandlasten'!$C$4,"",F323+1))</f>
        <v/>
      </c>
      <c r="F324" s="127" t="str">
        <f>IF($B323="","",IF($B323+1&gt;'Qredits maandlasten'!$C$4,"",EOMONTH(E324,0)))</f>
        <v/>
      </c>
      <c r="G324" s="128" t="str">
        <f>IF($B323="","",IF($B323+1&gt;'Qredits maandlasten'!$C$4,"",(_xlfn.DAYS(F324,E324)+1)/DAY(F324)))</f>
        <v/>
      </c>
      <c r="H324" s="129"/>
      <c r="I324" s="130" t="str">
        <f>IF($B323="","",IF($B323+1&gt;'Qredits maandlasten'!$C$4,"",I323-J323))</f>
        <v/>
      </c>
      <c r="J324" s="130" t="str">
        <f>IF($B323="","",IF($B323+1&gt;'Qredits maandlasten'!$C$4,"",IF(B323&lt;'Qredits maandlasten'!$C$11-1,0,IF('Qredits maandlasten'!$C$10=dropdowns!$A$93,'Qredits maandlasten'!$J$3,IF('Qredits maandlasten'!$C$10=dropdowns!$A$92,IFERROR('Qredits maandlasten'!$J$3-K324,0),0)))))</f>
        <v/>
      </c>
      <c r="K324" s="130" t="str">
        <f>IF($B323="","",IF($B323+1&gt;'Qredits maandlasten'!$C$4,"",G324*I324*'Qredits maandlasten'!$C$8))</f>
        <v/>
      </c>
      <c r="L324" s="130" t="str">
        <f t="shared" si="22"/>
        <v/>
      </c>
      <c r="M324" s="130" t="str">
        <f t="shared" si="20"/>
        <v/>
      </c>
      <c r="N324" s="129"/>
      <c r="O324" s="131" t="str">
        <f>IF($B324="","",'Qredits maandlasten'!$C$8)</f>
        <v/>
      </c>
      <c r="P324" s="131" t="str">
        <f>IF($B324="","",'Qredits maandlasten'!$C$8*(POWER(1+'Qredits maandlasten'!$C$8,$B324-1+1)))</f>
        <v/>
      </c>
      <c r="Q324" s="131" t="str">
        <f t="shared" si="23"/>
        <v/>
      </c>
      <c r="R324" s="129"/>
      <c r="S324" s="130" t="str">
        <f t="shared" si="21"/>
        <v/>
      </c>
      <c r="T324" s="130" t="str">
        <f>IF(S324="","",J324/(POWER(1+'Qredits maandlasten'!$C$8,$B324-1+1)))</f>
        <v/>
      </c>
      <c r="U324" s="132" t="str">
        <f t="shared" si="24"/>
        <v/>
      </c>
      <c r="V324" s="130" t="str">
        <f>IF($B324="","",K324/(POWER(1+'Qredits maandlasten'!$C$8,$B324-1+1)))</f>
        <v/>
      </c>
      <c r="W324" s="129"/>
    </row>
    <row r="325" spans="1:23" s="134" customFormat="1" x14ac:dyDescent="0.2">
      <c r="A325" s="125"/>
      <c r="B325" s="126" t="str">
        <f>IF($B324="","",IF($B324+1&gt;'Qredits maandlasten'!$C$4,"",Schema!B324+1))</f>
        <v/>
      </c>
      <c r="C325" s="127" t="str">
        <f>IF($B324="","",IF($B324+1&gt;'Qredits maandlasten'!$C$4,"",EOMONTH(C324,0)+1))</f>
        <v/>
      </c>
      <c r="D325" s="125"/>
      <c r="E325" s="127" t="str">
        <f>IF($B324="","",IF($B324+1&gt;'Qredits maandlasten'!$C$4,"",F324+1))</f>
        <v/>
      </c>
      <c r="F325" s="127" t="str">
        <f>IF($B324="","",IF($B324+1&gt;'Qredits maandlasten'!$C$4,"",EOMONTH(E325,0)))</f>
        <v/>
      </c>
      <c r="G325" s="128" t="str">
        <f>IF($B324="","",IF($B324+1&gt;'Qredits maandlasten'!$C$4,"",(_xlfn.DAYS(F325,E325)+1)/DAY(F325)))</f>
        <v/>
      </c>
      <c r="H325" s="129"/>
      <c r="I325" s="130" t="str">
        <f>IF($B324="","",IF($B324+1&gt;'Qredits maandlasten'!$C$4,"",I324-J324))</f>
        <v/>
      </c>
      <c r="J325" s="130" t="str">
        <f>IF($B324="","",IF($B324+1&gt;'Qredits maandlasten'!$C$4,"",IF(B324&lt;'Qredits maandlasten'!$C$11-1,0,IF('Qredits maandlasten'!$C$10=dropdowns!$A$93,'Qredits maandlasten'!$J$3,IF('Qredits maandlasten'!$C$10=dropdowns!$A$92,IFERROR('Qredits maandlasten'!$J$3-K325,0),0)))))</f>
        <v/>
      </c>
      <c r="K325" s="130" t="str">
        <f>IF($B324="","",IF($B324+1&gt;'Qredits maandlasten'!$C$4,"",G325*I325*'Qredits maandlasten'!$C$8))</f>
        <v/>
      </c>
      <c r="L325" s="130" t="str">
        <f t="shared" si="22"/>
        <v/>
      </c>
      <c r="M325" s="130" t="str">
        <f t="shared" si="20"/>
        <v/>
      </c>
      <c r="N325" s="129"/>
      <c r="O325" s="131" t="str">
        <f>IF($B325="","",'Qredits maandlasten'!$C$8)</f>
        <v/>
      </c>
      <c r="P325" s="131" t="str">
        <f>IF($B325="","",'Qredits maandlasten'!$C$8*(POWER(1+'Qredits maandlasten'!$C$8,$B325-1+1)))</f>
        <v/>
      </c>
      <c r="Q325" s="131" t="str">
        <f t="shared" si="23"/>
        <v/>
      </c>
      <c r="R325" s="129"/>
      <c r="S325" s="130" t="str">
        <f t="shared" si="21"/>
        <v/>
      </c>
      <c r="T325" s="130" t="str">
        <f>IF(S325="","",J325/(POWER(1+'Qredits maandlasten'!$C$8,$B325-1+1)))</f>
        <v/>
      </c>
      <c r="U325" s="132" t="str">
        <f t="shared" si="24"/>
        <v/>
      </c>
      <c r="V325" s="130" t="str">
        <f>IF($B325="","",K325/(POWER(1+'Qredits maandlasten'!$C$8,$B325-1+1)))</f>
        <v/>
      </c>
      <c r="W325" s="129"/>
    </row>
    <row r="326" spans="1:23" s="134" customFormat="1" x14ac:dyDescent="0.2">
      <c r="A326" s="125"/>
      <c r="B326" s="126" t="str">
        <f>IF($B325="","",IF($B325+1&gt;'Qredits maandlasten'!$C$4,"",Schema!B325+1))</f>
        <v/>
      </c>
      <c r="C326" s="127" t="str">
        <f>IF($B325="","",IF($B325+1&gt;'Qredits maandlasten'!$C$4,"",EOMONTH(C325,0)+1))</f>
        <v/>
      </c>
      <c r="D326" s="125"/>
      <c r="E326" s="127" t="str">
        <f>IF($B325="","",IF($B325+1&gt;'Qredits maandlasten'!$C$4,"",F325+1))</f>
        <v/>
      </c>
      <c r="F326" s="127" t="str">
        <f>IF($B325="","",IF($B325+1&gt;'Qredits maandlasten'!$C$4,"",EOMONTH(E326,0)))</f>
        <v/>
      </c>
      <c r="G326" s="128" t="str">
        <f>IF($B325="","",IF($B325+1&gt;'Qredits maandlasten'!$C$4,"",(_xlfn.DAYS(F326,E326)+1)/DAY(F326)))</f>
        <v/>
      </c>
      <c r="H326" s="129"/>
      <c r="I326" s="130" t="str">
        <f>IF($B325="","",IF($B325+1&gt;'Qredits maandlasten'!$C$4,"",I325-J325))</f>
        <v/>
      </c>
      <c r="J326" s="130" t="str">
        <f>IF($B325="","",IF($B325+1&gt;'Qredits maandlasten'!$C$4,"",IF(B325&lt;'Qredits maandlasten'!$C$11-1,0,IF('Qredits maandlasten'!$C$10=dropdowns!$A$93,'Qredits maandlasten'!$J$3,IF('Qredits maandlasten'!$C$10=dropdowns!$A$92,IFERROR('Qredits maandlasten'!$J$3-K326,0),0)))))</f>
        <v/>
      </c>
      <c r="K326" s="130" t="str">
        <f>IF($B325="","",IF($B325+1&gt;'Qredits maandlasten'!$C$4,"",G326*I326*'Qredits maandlasten'!$C$8))</f>
        <v/>
      </c>
      <c r="L326" s="130" t="str">
        <f t="shared" si="22"/>
        <v/>
      </c>
      <c r="M326" s="130" t="str">
        <f t="shared" si="20"/>
        <v/>
      </c>
      <c r="N326" s="129"/>
      <c r="O326" s="131" t="str">
        <f>IF($B326="","",'Qredits maandlasten'!$C$8)</f>
        <v/>
      </c>
      <c r="P326" s="131" t="str">
        <f>IF($B326="","",'Qredits maandlasten'!$C$8*(POWER(1+'Qredits maandlasten'!$C$8,$B326-1+1)))</f>
        <v/>
      </c>
      <c r="Q326" s="131" t="str">
        <f t="shared" si="23"/>
        <v/>
      </c>
      <c r="R326" s="129"/>
      <c r="S326" s="130" t="str">
        <f t="shared" si="21"/>
        <v/>
      </c>
      <c r="T326" s="130" t="str">
        <f>IF(S326="","",J326/(POWER(1+'Qredits maandlasten'!$C$8,$B326-1+1)))</f>
        <v/>
      </c>
      <c r="U326" s="132" t="str">
        <f t="shared" si="24"/>
        <v/>
      </c>
      <c r="V326" s="130" t="str">
        <f>IF($B326="","",K326/(POWER(1+'Qredits maandlasten'!$C$8,$B326-1+1)))</f>
        <v/>
      </c>
      <c r="W326" s="129"/>
    </row>
    <row r="327" spans="1:23" s="134" customFormat="1" x14ac:dyDescent="0.2">
      <c r="A327" s="125"/>
      <c r="B327" s="126" t="str">
        <f>IF($B326="","",IF($B326+1&gt;'Qredits maandlasten'!$C$4,"",Schema!B326+1))</f>
        <v/>
      </c>
      <c r="C327" s="127" t="str">
        <f>IF($B326="","",IF($B326+1&gt;'Qredits maandlasten'!$C$4,"",EOMONTH(C326,0)+1))</f>
        <v/>
      </c>
      <c r="D327" s="125"/>
      <c r="E327" s="127" t="str">
        <f>IF($B326="","",IF($B326+1&gt;'Qredits maandlasten'!$C$4,"",F326+1))</f>
        <v/>
      </c>
      <c r="F327" s="127" t="str">
        <f>IF($B326="","",IF($B326+1&gt;'Qredits maandlasten'!$C$4,"",EOMONTH(E327,0)))</f>
        <v/>
      </c>
      <c r="G327" s="128" t="str">
        <f>IF($B326="","",IF($B326+1&gt;'Qredits maandlasten'!$C$4,"",(_xlfn.DAYS(F327,E327)+1)/DAY(F327)))</f>
        <v/>
      </c>
      <c r="H327" s="129"/>
      <c r="I327" s="130" t="str">
        <f>IF($B326="","",IF($B326+1&gt;'Qredits maandlasten'!$C$4,"",I326-J326))</f>
        <v/>
      </c>
      <c r="J327" s="130" t="str">
        <f>IF($B326="","",IF($B326+1&gt;'Qredits maandlasten'!$C$4,"",IF(B326&lt;'Qredits maandlasten'!$C$11-1,0,IF('Qredits maandlasten'!$C$10=dropdowns!$A$93,'Qredits maandlasten'!$J$3,IF('Qredits maandlasten'!$C$10=dropdowns!$A$92,IFERROR('Qredits maandlasten'!$J$3-K327,0),0)))))</f>
        <v/>
      </c>
      <c r="K327" s="130" t="str">
        <f>IF($B326="","",IF($B326+1&gt;'Qredits maandlasten'!$C$4,"",G327*I327*'Qredits maandlasten'!$C$8))</f>
        <v/>
      </c>
      <c r="L327" s="130" t="str">
        <f t="shared" si="22"/>
        <v/>
      </c>
      <c r="M327" s="130" t="str">
        <f t="shared" si="20"/>
        <v/>
      </c>
      <c r="N327" s="129"/>
      <c r="O327" s="131" t="str">
        <f>IF($B327="","",'Qredits maandlasten'!$C$8)</f>
        <v/>
      </c>
      <c r="P327" s="131" t="str">
        <f>IF($B327="","",'Qredits maandlasten'!$C$8*(POWER(1+'Qredits maandlasten'!$C$8,$B327-1+1)))</f>
        <v/>
      </c>
      <c r="Q327" s="131" t="str">
        <f t="shared" si="23"/>
        <v/>
      </c>
      <c r="R327" s="129"/>
      <c r="S327" s="130" t="str">
        <f t="shared" si="21"/>
        <v/>
      </c>
      <c r="T327" s="130" t="str">
        <f>IF(S327="","",J327/(POWER(1+'Qredits maandlasten'!$C$8,$B327-1+1)))</f>
        <v/>
      </c>
      <c r="U327" s="132" t="str">
        <f t="shared" si="24"/>
        <v/>
      </c>
      <c r="V327" s="130" t="str">
        <f>IF($B327="","",K327/(POWER(1+'Qredits maandlasten'!$C$8,$B327-1+1)))</f>
        <v/>
      </c>
      <c r="W327" s="129"/>
    </row>
    <row r="328" spans="1:23" s="134" customFormat="1" x14ac:dyDescent="0.2">
      <c r="A328" s="125"/>
      <c r="B328" s="126" t="str">
        <f>IF($B327="","",IF($B327+1&gt;'Qredits maandlasten'!$C$4,"",Schema!B327+1))</f>
        <v/>
      </c>
      <c r="C328" s="127" t="str">
        <f>IF($B327="","",IF($B327+1&gt;'Qredits maandlasten'!$C$4,"",EOMONTH(C327,0)+1))</f>
        <v/>
      </c>
      <c r="D328" s="125"/>
      <c r="E328" s="127" t="str">
        <f>IF($B327="","",IF($B327+1&gt;'Qredits maandlasten'!$C$4,"",F327+1))</f>
        <v/>
      </c>
      <c r="F328" s="127" t="str">
        <f>IF($B327="","",IF($B327+1&gt;'Qredits maandlasten'!$C$4,"",EOMONTH(E328,0)))</f>
        <v/>
      </c>
      <c r="G328" s="128" t="str">
        <f>IF($B327="","",IF($B327+1&gt;'Qredits maandlasten'!$C$4,"",(_xlfn.DAYS(F328,E328)+1)/DAY(F328)))</f>
        <v/>
      </c>
      <c r="H328" s="129"/>
      <c r="I328" s="130" t="str">
        <f>IF($B327="","",IF($B327+1&gt;'Qredits maandlasten'!$C$4,"",I327-J327))</f>
        <v/>
      </c>
      <c r="J328" s="130" t="str">
        <f>IF($B327="","",IF($B327+1&gt;'Qredits maandlasten'!$C$4,"",IF(B327&lt;'Qredits maandlasten'!$C$11-1,0,IF('Qredits maandlasten'!$C$10=dropdowns!$A$93,'Qredits maandlasten'!$J$3,IF('Qredits maandlasten'!$C$10=dropdowns!$A$92,IFERROR('Qredits maandlasten'!$J$3-K328,0),0)))))</f>
        <v/>
      </c>
      <c r="K328" s="130" t="str">
        <f>IF($B327="","",IF($B327+1&gt;'Qredits maandlasten'!$C$4,"",G328*I328*'Qredits maandlasten'!$C$8))</f>
        <v/>
      </c>
      <c r="L328" s="130" t="str">
        <f t="shared" si="22"/>
        <v/>
      </c>
      <c r="M328" s="130" t="str">
        <f t="shared" si="20"/>
        <v/>
      </c>
      <c r="N328" s="129"/>
      <c r="O328" s="131" t="str">
        <f>IF($B328="","",'Qredits maandlasten'!$C$8)</f>
        <v/>
      </c>
      <c r="P328" s="131" t="str">
        <f>IF($B328="","",'Qredits maandlasten'!$C$8*(POWER(1+'Qredits maandlasten'!$C$8,$B328-1+1)))</f>
        <v/>
      </c>
      <c r="Q328" s="131" t="str">
        <f t="shared" si="23"/>
        <v/>
      </c>
      <c r="R328" s="129"/>
      <c r="S328" s="130" t="str">
        <f t="shared" si="21"/>
        <v/>
      </c>
      <c r="T328" s="130" t="str">
        <f>IF(S328="","",J328/(POWER(1+'Qredits maandlasten'!$C$8,$B328-1+1)))</f>
        <v/>
      </c>
      <c r="U328" s="132" t="str">
        <f t="shared" si="24"/>
        <v/>
      </c>
      <c r="V328" s="130" t="str">
        <f>IF($B328="","",K328/(POWER(1+'Qredits maandlasten'!$C$8,$B328-1+1)))</f>
        <v/>
      </c>
      <c r="W328" s="129"/>
    </row>
    <row r="329" spans="1:23" s="134" customFormat="1" x14ac:dyDescent="0.2">
      <c r="A329" s="125"/>
      <c r="B329" s="126" t="str">
        <f>IF($B328="","",IF($B328+1&gt;'Qredits maandlasten'!$C$4,"",Schema!B328+1))</f>
        <v/>
      </c>
      <c r="C329" s="127" t="str">
        <f>IF($B328="","",IF($B328+1&gt;'Qredits maandlasten'!$C$4,"",EOMONTH(C328,0)+1))</f>
        <v/>
      </c>
      <c r="D329" s="125"/>
      <c r="E329" s="127" t="str">
        <f>IF($B328="","",IF($B328+1&gt;'Qredits maandlasten'!$C$4,"",F328+1))</f>
        <v/>
      </c>
      <c r="F329" s="127" t="str">
        <f>IF($B328="","",IF($B328+1&gt;'Qredits maandlasten'!$C$4,"",EOMONTH(E329,0)))</f>
        <v/>
      </c>
      <c r="G329" s="128" t="str">
        <f>IF($B328="","",IF($B328+1&gt;'Qredits maandlasten'!$C$4,"",(_xlfn.DAYS(F329,E329)+1)/DAY(F329)))</f>
        <v/>
      </c>
      <c r="H329" s="129"/>
      <c r="I329" s="130" t="str">
        <f>IF($B328="","",IF($B328+1&gt;'Qredits maandlasten'!$C$4,"",I328-J328))</f>
        <v/>
      </c>
      <c r="J329" s="130" t="str">
        <f>IF($B328="","",IF($B328+1&gt;'Qredits maandlasten'!$C$4,"",IF(B328&lt;'Qredits maandlasten'!$C$11-1,0,IF('Qredits maandlasten'!$C$10=dropdowns!$A$93,'Qredits maandlasten'!$J$3,IF('Qredits maandlasten'!$C$10=dropdowns!$A$92,IFERROR('Qredits maandlasten'!$J$3-K329,0),0)))))</f>
        <v/>
      </c>
      <c r="K329" s="130" t="str">
        <f>IF($B328="","",IF($B328+1&gt;'Qredits maandlasten'!$C$4,"",G329*I329*'Qredits maandlasten'!$C$8))</f>
        <v/>
      </c>
      <c r="L329" s="130" t="str">
        <f t="shared" si="22"/>
        <v/>
      </c>
      <c r="M329" s="130" t="str">
        <f t="shared" si="20"/>
        <v/>
      </c>
      <c r="N329" s="129"/>
      <c r="O329" s="131" t="str">
        <f>IF($B329="","",'Qredits maandlasten'!$C$8)</f>
        <v/>
      </c>
      <c r="P329" s="131" t="str">
        <f>IF($B329="","",'Qredits maandlasten'!$C$8*(POWER(1+'Qredits maandlasten'!$C$8,$B329-1+1)))</f>
        <v/>
      </c>
      <c r="Q329" s="131" t="str">
        <f t="shared" si="23"/>
        <v/>
      </c>
      <c r="R329" s="129"/>
      <c r="S329" s="130" t="str">
        <f t="shared" si="21"/>
        <v/>
      </c>
      <c r="T329" s="130" t="str">
        <f>IF(S329="","",J329/(POWER(1+'Qredits maandlasten'!$C$8,$B329-1+1)))</f>
        <v/>
      </c>
      <c r="U329" s="132" t="str">
        <f t="shared" si="24"/>
        <v/>
      </c>
      <c r="V329" s="130" t="str">
        <f>IF($B329="","",K329/(POWER(1+'Qredits maandlasten'!$C$8,$B329-1+1)))</f>
        <v/>
      </c>
      <c r="W329" s="129"/>
    </row>
    <row r="330" spans="1:23" s="134" customFormat="1" x14ac:dyDescent="0.2">
      <c r="A330" s="125"/>
      <c r="B330" s="126" t="str">
        <f>IF($B329="","",IF($B329+1&gt;'Qredits maandlasten'!$C$4,"",Schema!B329+1))</f>
        <v/>
      </c>
      <c r="C330" s="127" t="str">
        <f>IF($B329="","",IF($B329+1&gt;'Qredits maandlasten'!$C$4,"",EOMONTH(C329,0)+1))</f>
        <v/>
      </c>
      <c r="D330" s="125"/>
      <c r="E330" s="127" t="str">
        <f>IF($B329="","",IF($B329+1&gt;'Qredits maandlasten'!$C$4,"",F329+1))</f>
        <v/>
      </c>
      <c r="F330" s="127" t="str">
        <f>IF($B329="","",IF($B329+1&gt;'Qredits maandlasten'!$C$4,"",EOMONTH(E330,0)))</f>
        <v/>
      </c>
      <c r="G330" s="128" t="str">
        <f>IF($B329="","",IF($B329+1&gt;'Qredits maandlasten'!$C$4,"",(_xlfn.DAYS(F330,E330)+1)/DAY(F330)))</f>
        <v/>
      </c>
      <c r="H330" s="129"/>
      <c r="I330" s="130" t="str">
        <f>IF($B329="","",IF($B329+1&gt;'Qredits maandlasten'!$C$4,"",I329-J329))</f>
        <v/>
      </c>
      <c r="J330" s="130" t="str">
        <f>IF($B329="","",IF($B329+1&gt;'Qredits maandlasten'!$C$4,"",IF(B329&lt;'Qredits maandlasten'!$C$11-1,0,IF('Qredits maandlasten'!$C$10=dropdowns!$A$93,'Qredits maandlasten'!$J$3,IF('Qredits maandlasten'!$C$10=dropdowns!$A$92,IFERROR('Qredits maandlasten'!$J$3-K330,0),0)))))</f>
        <v/>
      </c>
      <c r="K330" s="130" t="str">
        <f>IF($B329="","",IF($B329+1&gt;'Qredits maandlasten'!$C$4,"",G330*I330*'Qredits maandlasten'!$C$8))</f>
        <v/>
      </c>
      <c r="L330" s="130" t="str">
        <f t="shared" si="22"/>
        <v/>
      </c>
      <c r="M330" s="130" t="str">
        <f t="shared" ref="M330:M369" si="25">IF(S330="","",-K330-J330)</f>
        <v/>
      </c>
      <c r="N330" s="129"/>
      <c r="O330" s="131" t="str">
        <f>IF($B330="","",'Qredits maandlasten'!$C$8)</f>
        <v/>
      </c>
      <c r="P330" s="131" t="str">
        <f>IF($B330="","",'Qredits maandlasten'!$C$8*(POWER(1+'Qredits maandlasten'!$C$8,$B330-1+1)))</f>
        <v/>
      </c>
      <c r="Q330" s="131" t="str">
        <f t="shared" si="23"/>
        <v/>
      </c>
      <c r="R330" s="129"/>
      <c r="S330" s="130" t="str">
        <f t="shared" ref="S330:S369" si="26">IF(B330="","",IF(S329-T329&lt;0,"",S329-T329))</f>
        <v/>
      </c>
      <c r="T330" s="130" t="str">
        <f>IF(S330="","",J330/(POWER(1+'Qredits maandlasten'!$C$8,$B330-1+1)))</f>
        <v/>
      </c>
      <c r="U330" s="132" t="str">
        <f t="shared" si="24"/>
        <v/>
      </c>
      <c r="V330" s="130" t="str">
        <f>IF($B330="","",K330/(POWER(1+'Qredits maandlasten'!$C$8,$B330-1+1)))</f>
        <v/>
      </c>
      <c r="W330" s="129"/>
    </row>
    <row r="331" spans="1:23" s="134" customFormat="1" x14ac:dyDescent="0.2">
      <c r="A331" s="125"/>
      <c r="B331" s="126" t="str">
        <f>IF($B330="","",IF($B330+1&gt;'Qredits maandlasten'!$C$4,"",Schema!B330+1))</f>
        <v/>
      </c>
      <c r="C331" s="127" t="str">
        <f>IF($B330="","",IF($B330+1&gt;'Qredits maandlasten'!$C$4,"",EOMONTH(C330,0)+1))</f>
        <v/>
      </c>
      <c r="D331" s="125"/>
      <c r="E331" s="127" t="str">
        <f>IF($B330="","",IF($B330+1&gt;'Qredits maandlasten'!$C$4,"",F330+1))</f>
        <v/>
      </c>
      <c r="F331" s="127" t="str">
        <f>IF($B330="","",IF($B330+1&gt;'Qredits maandlasten'!$C$4,"",EOMONTH(E331,0)))</f>
        <v/>
      </c>
      <c r="G331" s="128" t="str">
        <f>IF($B330="","",IF($B330+1&gt;'Qredits maandlasten'!$C$4,"",(_xlfn.DAYS(F331,E331)+1)/DAY(F331)))</f>
        <v/>
      </c>
      <c r="H331" s="129"/>
      <c r="I331" s="130" t="str">
        <f>IF($B330="","",IF($B330+1&gt;'Qredits maandlasten'!$C$4,"",I330-J330))</f>
        <v/>
      </c>
      <c r="J331" s="130" t="str">
        <f>IF($B330="","",IF($B330+1&gt;'Qredits maandlasten'!$C$4,"",IF(B330&lt;'Qredits maandlasten'!$C$11-1,0,IF('Qredits maandlasten'!$C$10=dropdowns!$A$93,'Qredits maandlasten'!$J$3,IF('Qredits maandlasten'!$C$10=dropdowns!$A$92,IFERROR('Qredits maandlasten'!$J$3-K331,0),0)))))</f>
        <v/>
      </c>
      <c r="K331" s="130" t="str">
        <f>IF($B330="","",IF($B330+1&gt;'Qredits maandlasten'!$C$4,"",G331*I331*'Qredits maandlasten'!$C$8))</f>
        <v/>
      </c>
      <c r="L331" s="130" t="str">
        <f t="shared" ref="L331:L369" si="27">IF(S331="","",-K331-J331)</f>
        <v/>
      </c>
      <c r="M331" s="130" t="str">
        <f t="shared" si="25"/>
        <v/>
      </c>
      <c r="N331" s="129"/>
      <c r="O331" s="131" t="str">
        <f>IF($B331="","",'Qredits maandlasten'!$C$8)</f>
        <v/>
      </c>
      <c r="P331" s="131" t="str">
        <f>IF($B331="","",'Qredits maandlasten'!$C$8*(POWER(1+'Qredits maandlasten'!$C$8,$B331-1+1)))</f>
        <v/>
      </c>
      <c r="Q331" s="131" t="str">
        <f t="shared" ref="Q331:Q369" si="28">IF($B331="","",IFERROR(J331/T331-1,0))</f>
        <v/>
      </c>
      <c r="R331" s="129"/>
      <c r="S331" s="130" t="str">
        <f t="shared" si="26"/>
        <v/>
      </c>
      <c r="T331" s="130" t="str">
        <f>IF(S331="","",J331/(POWER(1+'Qredits maandlasten'!$C$8,$B331-1+1)))</f>
        <v/>
      </c>
      <c r="U331" s="132" t="str">
        <f t="shared" ref="U331:U369" si="29">IF(S331="","",T331+V331)</f>
        <v/>
      </c>
      <c r="V331" s="130" t="str">
        <f>IF($B331="","",K331/(POWER(1+'Qredits maandlasten'!$C$8,$B331-1+1)))</f>
        <v/>
      </c>
      <c r="W331" s="129"/>
    </row>
    <row r="332" spans="1:23" s="134" customFormat="1" x14ac:dyDescent="0.2">
      <c r="A332" s="125"/>
      <c r="B332" s="126" t="str">
        <f>IF($B331="","",IF($B331+1&gt;'Qredits maandlasten'!$C$4,"",Schema!B331+1))</f>
        <v/>
      </c>
      <c r="C332" s="127" t="str">
        <f>IF($B331="","",IF($B331+1&gt;'Qredits maandlasten'!$C$4,"",EOMONTH(C331,0)+1))</f>
        <v/>
      </c>
      <c r="D332" s="125"/>
      <c r="E332" s="127" t="str">
        <f>IF($B331="","",IF($B331+1&gt;'Qredits maandlasten'!$C$4,"",F331+1))</f>
        <v/>
      </c>
      <c r="F332" s="127" t="str">
        <f>IF($B331="","",IF($B331+1&gt;'Qredits maandlasten'!$C$4,"",EOMONTH(E332,0)))</f>
        <v/>
      </c>
      <c r="G332" s="128" t="str">
        <f>IF($B331="","",IF($B331+1&gt;'Qredits maandlasten'!$C$4,"",(_xlfn.DAYS(F332,E332)+1)/DAY(F332)))</f>
        <v/>
      </c>
      <c r="H332" s="129"/>
      <c r="I332" s="130" t="str">
        <f>IF($B331="","",IF($B331+1&gt;'Qredits maandlasten'!$C$4,"",I331-J331))</f>
        <v/>
      </c>
      <c r="J332" s="130" t="str">
        <f>IF($B331="","",IF($B331+1&gt;'Qredits maandlasten'!$C$4,"",IF(B331&lt;'Qredits maandlasten'!$C$11-1,0,IF('Qredits maandlasten'!$C$10=dropdowns!$A$93,'Qredits maandlasten'!$J$3,IF('Qredits maandlasten'!$C$10=dropdowns!$A$92,IFERROR('Qredits maandlasten'!$J$3-K332,0),0)))))</f>
        <v/>
      </c>
      <c r="K332" s="130" t="str">
        <f>IF($B331="","",IF($B331+1&gt;'Qredits maandlasten'!$C$4,"",G332*I332*'Qredits maandlasten'!$C$8))</f>
        <v/>
      </c>
      <c r="L332" s="130" t="str">
        <f t="shared" si="27"/>
        <v/>
      </c>
      <c r="M332" s="130" t="str">
        <f t="shared" si="25"/>
        <v/>
      </c>
      <c r="N332" s="129"/>
      <c r="O332" s="131" t="str">
        <f>IF($B332="","",'Qredits maandlasten'!$C$8)</f>
        <v/>
      </c>
      <c r="P332" s="131" t="str">
        <f>IF($B332="","",'Qredits maandlasten'!$C$8*(POWER(1+'Qredits maandlasten'!$C$8,$B332-1+1)))</f>
        <v/>
      </c>
      <c r="Q332" s="131" t="str">
        <f t="shared" si="28"/>
        <v/>
      </c>
      <c r="R332" s="129"/>
      <c r="S332" s="130" t="str">
        <f t="shared" si="26"/>
        <v/>
      </c>
      <c r="T332" s="130" t="str">
        <f>IF(S332="","",J332/(POWER(1+'Qredits maandlasten'!$C$8,$B332-1+1)))</f>
        <v/>
      </c>
      <c r="U332" s="132" t="str">
        <f t="shared" si="29"/>
        <v/>
      </c>
      <c r="V332" s="130" t="str">
        <f>IF($B332="","",K332/(POWER(1+'Qredits maandlasten'!$C$8,$B332-1+1)))</f>
        <v/>
      </c>
      <c r="W332" s="129"/>
    </row>
    <row r="333" spans="1:23" s="134" customFormat="1" x14ac:dyDescent="0.2">
      <c r="A333" s="125"/>
      <c r="B333" s="126" t="str">
        <f>IF($B332="","",IF($B332+1&gt;'Qredits maandlasten'!$C$4,"",Schema!B332+1))</f>
        <v/>
      </c>
      <c r="C333" s="127" t="str">
        <f>IF($B332="","",IF($B332+1&gt;'Qredits maandlasten'!$C$4,"",EOMONTH(C332,0)+1))</f>
        <v/>
      </c>
      <c r="D333" s="125"/>
      <c r="E333" s="127" t="str">
        <f>IF($B332="","",IF($B332+1&gt;'Qredits maandlasten'!$C$4,"",F332+1))</f>
        <v/>
      </c>
      <c r="F333" s="127" t="str">
        <f>IF($B332="","",IF($B332+1&gt;'Qredits maandlasten'!$C$4,"",EOMONTH(E333,0)))</f>
        <v/>
      </c>
      <c r="G333" s="128" t="str">
        <f>IF($B332="","",IF($B332+1&gt;'Qredits maandlasten'!$C$4,"",(_xlfn.DAYS(F333,E333)+1)/DAY(F333)))</f>
        <v/>
      </c>
      <c r="H333" s="129"/>
      <c r="I333" s="130" t="str">
        <f>IF($B332="","",IF($B332+1&gt;'Qredits maandlasten'!$C$4,"",I332-J332))</f>
        <v/>
      </c>
      <c r="J333" s="130" t="str">
        <f>IF($B332="","",IF($B332+1&gt;'Qredits maandlasten'!$C$4,"",IF(B332&lt;'Qredits maandlasten'!$C$11-1,0,IF('Qredits maandlasten'!$C$10=dropdowns!$A$93,'Qredits maandlasten'!$J$3,IF('Qredits maandlasten'!$C$10=dropdowns!$A$92,IFERROR('Qredits maandlasten'!$J$3-K333,0),0)))))</f>
        <v/>
      </c>
      <c r="K333" s="130" t="str">
        <f>IF($B332="","",IF($B332+1&gt;'Qredits maandlasten'!$C$4,"",G333*I333*'Qredits maandlasten'!$C$8))</f>
        <v/>
      </c>
      <c r="L333" s="130" t="str">
        <f t="shared" si="27"/>
        <v/>
      </c>
      <c r="M333" s="130" t="str">
        <f t="shared" si="25"/>
        <v/>
      </c>
      <c r="N333" s="129"/>
      <c r="O333" s="131" t="str">
        <f>IF($B333="","",'Qredits maandlasten'!$C$8)</f>
        <v/>
      </c>
      <c r="P333" s="131" t="str">
        <f>IF($B333="","",'Qredits maandlasten'!$C$8*(POWER(1+'Qredits maandlasten'!$C$8,$B333-1+1)))</f>
        <v/>
      </c>
      <c r="Q333" s="131" t="str">
        <f t="shared" si="28"/>
        <v/>
      </c>
      <c r="R333" s="129"/>
      <c r="S333" s="130" t="str">
        <f t="shared" si="26"/>
        <v/>
      </c>
      <c r="T333" s="130" t="str">
        <f>IF(S333="","",J333/(POWER(1+'Qredits maandlasten'!$C$8,$B333-1+1)))</f>
        <v/>
      </c>
      <c r="U333" s="132" t="str">
        <f t="shared" si="29"/>
        <v/>
      </c>
      <c r="V333" s="130" t="str">
        <f>IF($B333="","",K333/(POWER(1+'Qredits maandlasten'!$C$8,$B333-1+1)))</f>
        <v/>
      </c>
      <c r="W333" s="129"/>
    </row>
    <row r="334" spans="1:23" s="134" customFormat="1" x14ac:dyDescent="0.2">
      <c r="A334" s="125"/>
      <c r="B334" s="126" t="str">
        <f>IF($B333="","",IF($B333+1&gt;'Qredits maandlasten'!$C$4,"",Schema!B333+1))</f>
        <v/>
      </c>
      <c r="C334" s="127" t="str">
        <f>IF($B333="","",IF($B333+1&gt;'Qredits maandlasten'!$C$4,"",EOMONTH(C333,0)+1))</f>
        <v/>
      </c>
      <c r="D334" s="125"/>
      <c r="E334" s="127" t="str">
        <f>IF($B333="","",IF($B333+1&gt;'Qredits maandlasten'!$C$4,"",F333+1))</f>
        <v/>
      </c>
      <c r="F334" s="127" t="str">
        <f>IF($B333="","",IF($B333+1&gt;'Qredits maandlasten'!$C$4,"",EOMONTH(E334,0)))</f>
        <v/>
      </c>
      <c r="G334" s="128" t="str">
        <f>IF($B333="","",IF($B333+1&gt;'Qredits maandlasten'!$C$4,"",(_xlfn.DAYS(F334,E334)+1)/DAY(F334)))</f>
        <v/>
      </c>
      <c r="H334" s="129"/>
      <c r="I334" s="130" t="str">
        <f>IF($B333="","",IF($B333+1&gt;'Qredits maandlasten'!$C$4,"",I333-J333))</f>
        <v/>
      </c>
      <c r="J334" s="130" t="str">
        <f>IF($B333="","",IF($B333+1&gt;'Qredits maandlasten'!$C$4,"",IF(B333&lt;'Qredits maandlasten'!$C$11-1,0,IF('Qredits maandlasten'!$C$10=dropdowns!$A$93,'Qredits maandlasten'!$J$3,IF('Qredits maandlasten'!$C$10=dropdowns!$A$92,IFERROR('Qredits maandlasten'!$J$3-K334,0),0)))))</f>
        <v/>
      </c>
      <c r="K334" s="130" t="str">
        <f>IF($B333="","",IF($B333+1&gt;'Qredits maandlasten'!$C$4,"",G334*I334*'Qredits maandlasten'!$C$8))</f>
        <v/>
      </c>
      <c r="L334" s="130" t="str">
        <f t="shared" si="27"/>
        <v/>
      </c>
      <c r="M334" s="130" t="str">
        <f t="shared" si="25"/>
        <v/>
      </c>
      <c r="N334" s="129"/>
      <c r="O334" s="131" t="str">
        <f>IF($B334="","",'Qredits maandlasten'!$C$8)</f>
        <v/>
      </c>
      <c r="P334" s="131" t="str">
        <f>IF($B334="","",'Qredits maandlasten'!$C$8*(POWER(1+'Qredits maandlasten'!$C$8,$B334-1+1)))</f>
        <v/>
      </c>
      <c r="Q334" s="131" t="str">
        <f t="shared" si="28"/>
        <v/>
      </c>
      <c r="R334" s="129"/>
      <c r="S334" s="130" t="str">
        <f t="shared" si="26"/>
        <v/>
      </c>
      <c r="T334" s="130" t="str">
        <f>IF(S334="","",J334/(POWER(1+'Qredits maandlasten'!$C$8,$B334-1+1)))</f>
        <v/>
      </c>
      <c r="U334" s="132" t="str">
        <f t="shared" si="29"/>
        <v/>
      </c>
      <c r="V334" s="130" t="str">
        <f>IF($B334="","",K334/(POWER(1+'Qredits maandlasten'!$C$8,$B334-1+1)))</f>
        <v/>
      </c>
      <c r="W334" s="129"/>
    </row>
    <row r="335" spans="1:23" s="134" customFormat="1" x14ac:dyDescent="0.2">
      <c r="A335" s="125"/>
      <c r="B335" s="126" t="str">
        <f>IF($B334="","",IF($B334+1&gt;'Qredits maandlasten'!$C$4,"",Schema!B334+1))</f>
        <v/>
      </c>
      <c r="C335" s="127" t="str">
        <f>IF($B334="","",IF($B334+1&gt;'Qredits maandlasten'!$C$4,"",EOMONTH(C334,0)+1))</f>
        <v/>
      </c>
      <c r="D335" s="125"/>
      <c r="E335" s="127" t="str">
        <f>IF($B334="","",IF($B334+1&gt;'Qredits maandlasten'!$C$4,"",F334+1))</f>
        <v/>
      </c>
      <c r="F335" s="127" t="str">
        <f>IF($B334="","",IF($B334+1&gt;'Qredits maandlasten'!$C$4,"",EOMONTH(E335,0)))</f>
        <v/>
      </c>
      <c r="G335" s="128" t="str">
        <f>IF($B334="","",IF($B334+1&gt;'Qredits maandlasten'!$C$4,"",(_xlfn.DAYS(F335,E335)+1)/DAY(F335)))</f>
        <v/>
      </c>
      <c r="H335" s="129"/>
      <c r="I335" s="130" t="str">
        <f>IF($B334="","",IF($B334+1&gt;'Qredits maandlasten'!$C$4,"",I334-J334))</f>
        <v/>
      </c>
      <c r="J335" s="130" t="str">
        <f>IF($B334="","",IF($B334+1&gt;'Qredits maandlasten'!$C$4,"",IF(B334&lt;'Qredits maandlasten'!$C$11-1,0,IF('Qredits maandlasten'!$C$10=dropdowns!$A$93,'Qredits maandlasten'!$J$3,IF('Qredits maandlasten'!$C$10=dropdowns!$A$92,IFERROR('Qredits maandlasten'!$J$3-K335,0),0)))))</f>
        <v/>
      </c>
      <c r="K335" s="130" t="str">
        <f>IF($B334="","",IF($B334+1&gt;'Qredits maandlasten'!$C$4,"",G335*I335*'Qredits maandlasten'!$C$8))</f>
        <v/>
      </c>
      <c r="L335" s="130" t="str">
        <f t="shared" si="27"/>
        <v/>
      </c>
      <c r="M335" s="130" t="str">
        <f t="shared" si="25"/>
        <v/>
      </c>
      <c r="N335" s="129"/>
      <c r="O335" s="131" t="str">
        <f>IF($B335="","",'Qredits maandlasten'!$C$8)</f>
        <v/>
      </c>
      <c r="P335" s="131" t="str">
        <f>IF($B335="","",'Qredits maandlasten'!$C$8*(POWER(1+'Qredits maandlasten'!$C$8,$B335-1+1)))</f>
        <v/>
      </c>
      <c r="Q335" s="131" t="str">
        <f t="shared" si="28"/>
        <v/>
      </c>
      <c r="R335" s="129"/>
      <c r="S335" s="130" t="str">
        <f t="shared" si="26"/>
        <v/>
      </c>
      <c r="T335" s="130" t="str">
        <f>IF(S335="","",J335/(POWER(1+'Qredits maandlasten'!$C$8,$B335-1+1)))</f>
        <v/>
      </c>
      <c r="U335" s="132" t="str">
        <f t="shared" si="29"/>
        <v/>
      </c>
      <c r="V335" s="130" t="str">
        <f>IF($B335="","",K335/(POWER(1+'Qredits maandlasten'!$C$8,$B335-1+1)))</f>
        <v/>
      </c>
      <c r="W335" s="129"/>
    </row>
    <row r="336" spans="1:23" s="134" customFormat="1" x14ac:dyDescent="0.2">
      <c r="A336" s="125"/>
      <c r="B336" s="126" t="str">
        <f>IF($B335="","",IF($B335+1&gt;'Qredits maandlasten'!$C$4,"",Schema!B335+1))</f>
        <v/>
      </c>
      <c r="C336" s="127" t="str">
        <f>IF($B335="","",IF($B335+1&gt;'Qredits maandlasten'!$C$4,"",EOMONTH(C335,0)+1))</f>
        <v/>
      </c>
      <c r="D336" s="125"/>
      <c r="E336" s="127" t="str">
        <f>IF($B335="","",IF($B335+1&gt;'Qredits maandlasten'!$C$4,"",F335+1))</f>
        <v/>
      </c>
      <c r="F336" s="127" t="str">
        <f>IF($B335="","",IF($B335+1&gt;'Qredits maandlasten'!$C$4,"",EOMONTH(E336,0)))</f>
        <v/>
      </c>
      <c r="G336" s="128" t="str">
        <f>IF($B335="","",IF($B335+1&gt;'Qredits maandlasten'!$C$4,"",(_xlfn.DAYS(F336,E336)+1)/DAY(F336)))</f>
        <v/>
      </c>
      <c r="H336" s="129"/>
      <c r="I336" s="130" t="str">
        <f>IF($B335="","",IF($B335+1&gt;'Qredits maandlasten'!$C$4,"",I335-J335))</f>
        <v/>
      </c>
      <c r="J336" s="130" t="str">
        <f>IF($B335="","",IF($B335+1&gt;'Qredits maandlasten'!$C$4,"",IF(B335&lt;'Qredits maandlasten'!$C$11-1,0,IF('Qredits maandlasten'!$C$10=dropdowns!$A$93,'Qredits maandlasten'!$J$3,IF('Qredits maandlasten'!$C$10=dropdowns!$A$92,IFERROR('Qredits maandlasten'!$J$3-K336,0),0)))))</f>
        <v/>
      </c>
      <c r="K336" s="130" t="str">
        <f>IF($B335="","",IF($B335+1&gt;'Qredits maandlasten'!$C$4,"",G336*I336*'Qredits maandlasten'!$C$8))</f>
        <v/>
      </c>
      <c r="L336" s="130" t="str">
        <f t="shared" si="27"/>
        <v/>
      </c>
      <c r="M336" s="130" t="str">
        <f t="shared" si="25"/>
        <v/>
      </c>
      <c r="N336" s="129"/>
      <c r="O336" s="131" t="str">
        <f>IF($B336="","",'Qredits maandlasten'!$C$8)</f>
        <v/>
      </c>
      <c r="P336" s="131" t="str">
        <f>IF($B336="","",'Qredits maandlasten'!$C$8*(POWER(1+'Qredits maandlasten'!$C$8,$B336-1+1)))</f>
        <v/>
      </c>
      <c r="Q336" s="131" t="str">
        <f t="shared" si="28"/>
        <v/>
      </c>
      <c r="R336" s="129"/>
      <c r="S336" s="130" t="str">
        <f t="shared" si="26"/>
        <v/>
      </c>
      <c r="T336" s="130" t="str">
        <f>IF(S336="","",J336/(POWER(1+'Qredits maandlasten'!$C$8,$B336-1+1)))</f>
        <v/>
      </c>
      <c r="U336" s="132" t="str">
        <f t="shared" si="29"/>
        <v/>
      </c>
      <c r="V336" s="130" t="str">
        <f>IF($B336="","",K336/(POWER(1+'Qredits maandlasten'!$C$8,$B336-1+1)))</f>
        <v/>
      </c>
      <c r="W336" s="129"/>
    </row>
    <row r="337" spans="1:23" s="134" customFormat="1" x14ac:dyDescent="0.2">
      <c r="A337" s="125"/>
      <c r="B337" s="126" t="str">
        <f>IF($B336="","",IF($B336+1&gt;'Qredits maandlasten'!$C$4,"",Schema!B336+1))</f>
        <v/>
      </c>
      <c r="C337" s="127" t="str">
        <f>IF($B336="","",IF($B336+1&gt;'Qredits maandlasten'!$C$4,"",EOMONTH(C336,0)+1))</f>
        <v/>
      </c>
      <c r="D337" s="125"/>
      <c r="E337" s="127" t="str">
        <f>IF($B336="","",IF($B336+1&gt;'Qredits maandlasten'!$C$4,"",F336+1))</f>
        <v/>
      </c>
      <c r="F337" s="127" t="str">
        <f>IF($B336="","",IF($B336+1&gt;'Qredits maandlasten'!$C$4,"",EOMONTH(E337,0)))</f>
        <v/>
      </c>
      <c r="G337" s="128" t="str">
        <f>IF($B336="","",IF($B336+1&gt;'Qredits maandlasten'!$C$4,"",(_xlfn.DAYS(F337,E337)+1)/DAY(F337)))</f>
        <v/>
      </c>
      <c r="H337" s="129"/>
      <c r="I337" s="130" t="str">
        <f>IF($B336="","",IF($B336+1&gt;'Qredits maandlasten'!$C$4,"",I336-J336))</f>
        <v/>
      </c>
      <c r="J337" s="130" t="str">
        <f>IF($B336="","",IF($B336+1&gt;'Qredits maandlasten'!$C$4,"",IF(B336&lt;'Qredits maandlasten'!$C$11-1,0,IF('Qredits maandlasten'!$C$10=dropdowns!$A$93,'Qredits maandlasten'!$J$3,IF('Qredits maandlasten'!$C$10=dropdowns!$A$92,IFERROR('Qredits maandlasten'!$J$3-K337,0),0)))))</f>
        <v/>
      </c>
      <c r="K337" s="130" t="str">
        <f>IF($B336="","",IF($B336+1&gt;'Qredits maandlasten'!$C$4,"",G337*I337*'Qredits maandlasten'!$C$8))</f>
        <v/>
      </c>
      <c r="L337" s="130" t="str">
        <f t="shared" si="27"/>
        <v/>
      </c>
      <c r="M337" s="130" t="str">
        <f t="shared" si="25"/>
        <v/>
      </c>
      <c r="N337" s="129"/>
      <c r="O337" s="131" t="str">
        <f>IF($B337="","",'Qredits maandlasten'!$C$8)</f>
        <v/>
      </c>
      <c r="P337" s="131" t="str">
        <f>IF($B337="","",'Qredits maandlasten'!$C$8*(POWER(1+'Qredits maandlasten'!$C$8,$B337-1+1)))</f>
        <v/>
      </c>
      <c r="Q337" s="131" t="str">
        <f t="shared" si="28"/>
        <v/>
      </c>
      <c r="R337" s="129"/>
      <c r="S337" s="130" t="str">
        <f t="shared" si="26"/>
        <v/>
      </c>
      <c r="T337" s="130" t="str">
        <f>IF(S337="","",J337/(POWER(1+'Qredits maandlasten'!$C$8,$B337-1+1)))</f>
        <v/>
      </c>
      <c r="U337" s="132" t="str">
        <f t="shared" si="29"/>
        <v/>
      </c>
      <c r="V337" s="130" t="str">
        <f>IF($B337="","",K337/(POWER(1+'Qredits maandlasten'!$C$8,$B337-1+1)))</f>
        <v/>
      </c>
      <c r="W337" s="129"/>
    </row>
    <row r="338" spans="1:23" s="134" customFormat="1" x14ac:dyDescent="0.2">
      <c r="A338" s="125"/>
      <c r="B338" s="126" t="str">
        <f>IF($B337="","",IF($B337+1&gt;'Qredits maandlasten'!$C$4,"",Schema!B337+1))</f>
        <v/>
      </c>
      <c r="C338" s="127" t="str">
        <f>IF($B337="","",IF($B337+1&gt;'Qredits maandlasten'!$C$4,"",EOMONTH(C337,0)+1))</f>
        <v/>
      </c>
      <c r="D338" s="125"/>
      <c r="E338" s="127" t="str">
        <f>IF($B337="","",IF($B337+1&gt;'Qredits maandlasten'!$C$4,"",F337+1))</f>
        <v/>
      </c>
      <c r="F338" s="127" t="str">
        <f>IF($B337="","",IF($B337+1&gt;'Qredits maandlasten'!$C$4,"",EOMONTH(E338,0)))</f>
        <v/>
      </c>
      <c r="G338" s="128" t="str">
        <f>IF($B337="","",IF($B337+1&gt;'Qredits maandlasten'!$C$4,"",(_xlfn.DAYS(F338,E338)+1)/DAY(F338)))</f>
        <v/>
      </c>
      <c r="H338" s="129"/>
      <c r="I338" s="130" t="str">
        <f>IF($B337="","",IF($B337+1&gt;'Qredits maandlasten'!$C$4,"",I337-J337))</f>
        <v/>
      </c>
      <c r="J338" s="130" t="str">
        <f>IF($B337="","",IF($B337+1&gt;'Qredits maandlasten'!$C$4,"",IF(B337&lt;'Qredits maandlasten'!$C$11-1,0,IF('Qredits maandlasten'!$C$10=dropdowns!$A$93,'Qredits maandlasten'!$J$3,IF('Qredits maandlasten'!$C$10=dropdowns!$A$92,IFERROR('Qredits maandlasten'!$J$3-K338,0),0)))))</f>
        <v/>
      </c>
      <c r="K338" s="130" t="str">
        <f>IF($B337="","",IF($B337+1&gt;'Qredits maandlasten'!$C$4,"",G338*I338*'Qredits maandlasten'!$C$8))</f>
        <v/>
      </c>
      <c r="L338" s="130" t="str">
        <f t="shared" si="27"/>
        <v/>
      </c>
      <c r="M338" s="130" t="str">
        <f t="shared" si="25"/>
        <v/>
      </c>
      <c r="N338" s="129"/>
      <c r="O338" s="131" t="str">
        <f>IF($B338="","",'Qredits maandlasten'!$C$8)</f>
        <v/>
      </c>
      <c r="P338" s="131" t="str">
        <f>IF($B338="","",'Qredits maandlasten'!$C$8*(POWER(1+'Qredits maandlasten'!$C$8,$B338-1+1)))</f>
        <v/>
      </c>
      <c r="Q338" s="131" t="str">
        <f t="shared" si="28"/>
        <v/>
      </c>
      <c r="R338" s="129"/>
      <c r="S338" s="130" t="str">
        <f t="shared" si="26"/>
        <v/>
      </c>
      <c r="T338" s="130" t="str">
        <f>IF(S338="","",J338/(POWER(1+'Qredits maandlasten'!$C$8,$B338-1+1)))</f>
        <v/>
      </c>
      <c r="U338" s="132" t="str">
        <f t="shared" si="29"/>
        <v/>
      </c>
      <c r="V338" s="130" t="str">
        <f>IF($B338="","",K338/(POWER(1+'Qredits maandlasten'!$C$8,$B338-1+1)))</f>
        <v/>
      </c>
      <c r="W338" s="129"/>
    </row>
    <row r="339" spans="1:23" s="134" customFormat="1" x14ac:dyDescent="0.2">
      <c r="A339" s="125"/>
      <c r="B339" s="126" t="str">
        <f>IF($B338="","",IF($B338+1&gt;'Qredits maandlasten'!$C$4,"",Schema!B338+1))</f>
        <v/>
      </c>
      <c r="C339" s="127" t="str">
        <f>IF($B338="","",IF($B338+1&gt;'Qredits maandlasten'!$C$4,"",EOMONTH(C338,0)+1))</f>
        <v/>
      </c>
      <c r="D339" s="125"/>
      <c r="E339" s="127" t="str">
        <f>IF($B338="","",IF($B338+1&gt;'Qredits maandlasten'!$C$4,"",F338+1))</f>
        <v/>
      </c>
      <c r="F339" s="127" t="str">
        <f>IF($B338="","",IF($B338+1&gt;'Qredits maandlasten'!$C$4,"",EOMONTH(E339,0)))</f>
        <v/>
      </c>
      <c r="G339" s="128" t="str">
        <f>IF($B338="","",IF($B338+1&gt;'Qredits maandlasten'!$C$4,"",(_xlfn.DAYS(F339,E339)+1)/DAY(F339)))</f>
        <v/>
      </c>
      <c r="H339" s="129"/>
      <c r="I339" s="130" t="str">
        <f>IF($B338="","",IF($B338+1&gt;'Qredits maandlasten'!$C$4,"",I338-J338))</f>
        <v/>
      </c>
      <c r="J339" s="130" t="str">
        <f>IF($B338="","",IF($B338+1&gt;'Qredits maandlasten'!$C$4,"",IF(B338&lt;'Qredits maandlasten'!$C$11-1,0,IF('Qredits maandlasten'!$C$10=dropdowns!$A$93,'Qredits maandlasten'!$J$3,IF('Qredits maandlasten'!$C$10=dropdowns!$A$92,IFERROR('Qredits maandlasten'!$J$3-K339,0),0)))))</f>
        <v/>
      </c>
      <c r="K339" s="130" t="str">
        <f>IF($B338="","",IF($B338+1&gt;'Qredits maandlasten'!$C$4,"",G339*I339*'Qredits maandlasten'!$C$8))</f>
        <v/>
      </c>
      <c r="L339" s="130" t="str">
        <f t="shared" si="27"/>
        <v/>
      </c>
      <c r="M339" s="130" t="str">
        <f t="shared" si="25"/>
        <v/>
      </c>
      <c r="N339" s="129"/>
      <c r="O339" s="131" t="str">
        <f>IF($B339="","",'Qredits maandlasten'!$C$8)</f>
        <v/>
      </c>
      <c r="P339" s="131" t="str">
        <f>IF($B339="","",'Qredits maandlasten'!$C$8*(POWER(1+'Qredits maandlasten'!$C$8,$B339-1+1)))</f>
        <v/>
      </c>
      <c r="Q339" s="131" t="str">
        <f t="shared" si="28"/>
        <v/>
      </c>
      <c r="R339" s="129"/>
      <c r="S339" s="130" t="str">
        <f t="shared" si="26"/>
        <v/>
      </c>
      <c r="T339" s="130" t="str">
        <f>IF(S339="","",J339/(POWER(1+'Qredits maandlasten'!$C$8,$B339-1+1)))</f>
        <v/>
      </c>
      <c r="U339" s="132" t="str">
        <f t="shared" si="29"/>
        <v/>
      </c>
      <c r="V339" s="130" t="str">
        <f>IF($B339="","",K339/(POWER(1+'Qredits maandlasten'!$C$8,$B339-1+1)))</f>
        <v/>
      </c>
      <c r="W339" s="129"/>
    </row>
    <row r="340" spans="1:23" s="134" customFormat="1" x14ac:dyDescent="0.2">
      <c r="A340" s="125"/>
      <c r="B340" s="126" t="str">
        <f>IF($B339="","",IF($B339+1&gt;'Qredits maandlasten'!$C$4,"",Schema!B339+1))</f>
        <v/>
      </c>
      <c r="C340" s="127" t="str">
        <f>IF($B339="","",IF($B339+1&gt;'Qredits maandlasten'!$C$4,"",EOMONTH(C339,0)+1))</f>
        <v/>
      </c>
      <c r="D340" s="125"/>
      <c r="E340" s="127" t="str">
        <f>IF($B339="","",IF($B339+1&gt;'Qredits maandlasten'!$C$4,"",F339+1))</f>
        <v/>
      </c>
      <c r="F340" s="127" t="str">
        <f>IF($B339="","",IF($B339+1&gt;'Qredits maandlasten'!$C$4,"",EOMONTH(E340,0)))</f>
        <v/>
      </c>
      <c r="G340" s="128" t="str">
        <f>IF($B339="","",IF($B339+1&gt;'Qredits maandlasten'!$C$4,"",(_xlfn.DAYS(F340,E340)+1)/DAY(F340)))</f>
        <v/>
      </c>
      <c r="H340" s="129"/>
      <c r="I340" s="130" t="str">
        <f>IF($B339="","",IF($B339+1&gt;'Qredits maandlasten'!$C$4,"",I339-J339))</f>
        <v/>
      </c>
      <c r="J340" s="130" t="str">
        <f>IF($B339="","",IF($B339+1&gt;'Qredits maandlasten'!$C$4,"",IF(B339&lt;'Qredits maandlasten'!$C$11-1,0,IF('Qredits maandlasten'!$C$10=dropdowns!$A$93,'Qredits maandlasten'!$J$3,IF('Qredits maandlasten'!$C$10=dropdowns!$A$92,IFERROR('Qredits maandlasten'!$J$3-K340,0),0)))))</f>
        <v/>
      </c>
      <c r="K340" s="130" t="str">
        <f>IF($B339="","",IF($B339+1&gt;'Qredits maandlasten'!$C$4,"",G340*I340*'Qredits maandlasten'!$C$8))</f>
        <v/>
      </c>
      <c r="L340" s="130" t="str">
        <f t="shared" si="27"/>
        <v/>
      </c>
      <c r="M340" s="130" t="str">
        <f t="shared" si="25"/>
        <v/>
      </c>
      <c r="N340" s="129"/>
      <c r="O340" s="131" t="str">
        <f>IF($B340="","",'Qredits maandlasten'!$C$8)</f>
        <v/>
      </c>
      <c r="P340" s="131" t="str">
        <f>IF($B340="","",'Qredits maandlasten'!$C$8*(POWER(1+'Qredits maandlasten'!$C$8,$B340-1+1)))</f>
        <v/>
      </c>
      <c r="Q340" s="131" t="str">
        <f t="shared" si="28"/>
        <v/>
      </c>
      <c r="R340" s="129"/>
      <c r="S340" s="130" t="str">
        <f t="shared" si="26"/>
        <v/>
      </c>
      <c r="T340" s="130" t="str">
        <f>IF(S340="","",J340/(POWER(1+'Qredits maandlasten'!$C$8,$B340-1+1)))</f>
        <v/>
      </c>
      <c r="U340" s="132" t="str">
        <f t="shared" si="29"/>
        <v/>
      </c>
      <c r="V340" s="130" t="str">
        <f>IF($B340="","",K340/(POWER(1+'Qredits maandlasten'!$C$8,$B340-1+1)))</f>
        <v/>
      </c>
      <c r="W340" s="129"/>
    </row>
    <row r="341" spans="1:23" s="134" customFormat="1" x14ac:dyDescent="0.2">
      <c r="A341" s="125"/>
      <c r="B341" s="126" t="str">
        <f>IF($B340="","",IF($B340+1&gt;'Qredits maandlasten'!$C$4,"",Schema!B340+1))</f>
        <v/>
      </c>
      <c r="C341" s="127" t="str">
        <f>IF($B340="","",IF($B340+1&gt;'Qredits maandlasten'!$C$4,"",EOMONTH(C340,0)+1))</f>
        <v/>
      </c>
      <c r="D341" s="125"/>
      <c r="E341" s="127" t="str">
        <f>IF($B340="","",IF($B340+1&gt;'Qredits maandlasten'!$C$4,"",F340+1))</f>
        <v/>
      </c>
      <c r="F341" s="127" t="str">
        <f>IF($B340="","",IF($B340+1&gt;'Qredits maandlasten'!$C$4,"",EOMONTH(E341,0)))</f>
        <v/>
      </c>
      <c r="G341" s="128" t="str">
        <f>IF($B340="","",IF($B340+1&gt;'Qredits maandlasten'!$C$4,"",(_xlfn.DAYS(F341,E341)+1)/DAY(F341)))</f>
        <v/>
      </c>
      <c r="H341" s="129"/>
      <c r="I341" s="130" t="str">
        <f>IF($B340="","",IF($B340+1&gt;'Qredits maandlasten'!$C$4,"",I340-J340))</f>
        <v/>
      </c>
      <c r="J341" s="130" t="str">
        <f>IF($B340="","",IF($B340+1&gt;'Qredits maandlasten'!$C$4,"",IF(B340&lt;'Qredits maandlasten'!$C$11-1,0,IF('Qredits maandlasten'!$C$10=dropdowns!$A$93,'Qredits maandlasten'!$J$3,IF('Qredits maandlasten'!$C$10=dropdowns!$A$92,IFERROR('Qredits maandlasten'!$J$3-K341,0),0)))))</f>
        <v/>
      </c>
      <c r="K341" s="130" t="str">
        <f>IF($B340="","",IF($B340+1&gt;'Qredits maandlasten'!$C$4,"",G341*I341*'Qredits maandlasten'!$C$8))</f>
        <v/>
      </c>
      <c r="L341" s="130" t="str">
        <f t="shared" si="27"/>
        <v/>
      </c>
      <c r="M341" s="130" t="str">
        <f t="shared" si="25"/>
        <v/>
      </c>
      <c r="N341" s="129"/>
      <c r="O341" s="131" t="str">
        <f>IF($B341="","",'Qredits maandlasten'!$C$8)</f>
        <v/>
      </c>
      <c r="P341" s="131" t="str">
        <f>IF($B341="","",'Qredits maandlasten'!$C$8*(POWER(1+'Qredits maandlasten'!$C$8,$B341-1+1)))</f>
        <v/>
      </c>
      <c r="Q341" s="131" t="str">
        <f t="shared" si="28"/>
        <v/>
      </c>
      <c r="R341" s="129"/>
      <c r="S341" s="130" t="str">
        <f t="shared" si="26"/>
        <v/>
      </c>
      <c r="T341" s="130" t="str">
        <f>IF(S341="","",J341/(POWER(1+'Qredits maandlasten'!$C$8,$B341-1+1)))</f>
        <v/>
      </c>
      <c r="U341" s="132" t="str">
        <f t="shared" si="29"/>
        <v/>
      </c>
      <c r="V341" s="130" t="str">
        <f>IF($B341="","",K341/(POWER(1+'Qredits maandlasten'!$C$8,$B341-1+1)))</f>
        <v/>
      </c>
      <c r="W341" s="129"/>
    </row>
    <row r="342" spans="1:23" s="134" customFormat="1" x14ac:dyDescent="0.2">
      <c r="A342" s="125"/>
      <c r="B342" s="126" t="str">
        <f>IF($B341="","",IF($B341+1&gt;'Qredits maandlasten'!$C$4,"",Schema!B341+1))</f>
        <v/>
      </c>
      <c r="C342" s="127" t="str">
        <f>IF($B341="","",IF($B341+1&gt;'Qredits maandlasten'!$C$4,"",EOMONTH(C341,0)+1))</f>
        <v/>
      </c>
      <c r="D342" s="125"/>
      <c r="E342" s="127" t="str">
        <f>IF($B341="","",IF($B341+1&gt;'Qredits maandlasten'!$C$4,"",F341+1))</f>
        <v/>
      </c>
      <c r="F342" s="127" t="str">
        <f>IF($B341="","",IF($B341+1&gt;'Qredits maandlasten'!$C$4,"",EOMONTH(E342,0)))</f>
        <v/>
      </c>
      <c r="G342" s="128" t="str">
        <f>IF($B341="","",IF($B341+1&gt;'Qredits maandlasten'!$C$4,"",(_xlfn.DAYS(F342,E342)+1)/DAY(F342)))</f>
        <v/>
      </c>
      <c r="H342" s="129"/>
      <c r="I342" s="130" t="str">
        <f>IF($B341="","",IF($B341+1&gt;'Qredits maandlasten'!$C$4,"",I341-J341))</f>
        <v/>
      </c>
      <c r="J342" s="130" t="str">
        <f>IF($B341="","",IF($B341+1&gt;'Qredits maandlasten'!$C$4,"",IF(B341&lt;'Qredits maandlasten'!$C$11-1,0,IF('Qredits maandlasten'!$C$10=dropdowns!$A$93,'Qredits maandlasten'!$J$3,IF('Qredits maandlasten'!$C$10=dropdowns!$A$92,IFERROR('Qredits maandlasten'!$J$3-K342,0),0)))))</f>
        <v/>
      </c>
      <c r="K342" s="130" t="str">
        <f>IF($B341="","",IF($B341+1&gt;'Qredits maandlasten'!$C$4,"",G342*I342*'Qredits maandlasten'!$C$8))</f>
        <v/>
      </c>
      <c r="L342" s="130" t="str">
        <f t="shared" si="27"/>
        <v/>
      </c>
      <c r="M342" s="130" t="str">
        <f t="shared" si="25"/>
        <v/>
      </c>
      <c r="N342" s="129"/>
      <c r="O342" s="131" t="str">
        <f>IF($B342="","",'Qredits maandlasten'!$C$8)</f>
        <v/>
      </c>
      <c r="P342" s="131" t="str">
        <f>IF($B342="","",'Qredits maandlasten'!$C$8*(POWER(1+'Qredits maandlasten'!$C$8,$B342-1+1)))</f>
        <v/>
      </c>
      <c r="Q342" s="131" t="str">
        <f t="shared" si="28"/>
        <v/>
      </c>
      <c r="R342" s="129"/>
      <c r="S342" s="130" t="str">
        <f t="shared" si="26"/>
        <v/>
      </c>
      <c r="T342" s="130" t="str">
        <f>IF(S342="","",J342/(POWER(1+'Qredits maandlasten'!$C$8,$B342-1+1)))</f>
        <v/>
      </c>
      <c r="U342" s="132" t="str">
        <f t="shared" si="29"/>
        <v/>
      </c>
      <c r="V342" s="130" t="str">
        <f>IF($B342="","",K342/(POWER(1+'Qredits maandlasten'!$C$8,$B342-1+1)))</f>
        <v/>
      </c>
      <c r="W342" s="129"/>
    </row>
    <row r="343" spans="1:23" s="134" customFormat="1" x14ac:dyDescent="0.2">
      <c r="A343" s="125"/>
      <c r="B343" s="126" t="str">
        <f>IF($B342="","",IF($B342+1&gt;'Qredits maandlasten'!$C$4,"",Schema!B342+1))</f>
        <v/>
      </c>
      <c r="C343" s="127" t="str">
        <f>IF($B342="","",IF($B342+1&gt;'Qredits maandlasten'!$C$4,"",EOMONTH(C342,0)+1))</f>
        <v/>
      </c>
      <c r="D343" s="125"/>
      <c r="E343" s="127" t="str">
        <f>IF($B342="","",IF($B342+1&gt;'Qredits maandlasten'!$C$4,"",F342+1))</f>
        <v/>
      </c>
      <c r="F343" s="127" t="str">
        <f>IF($B342="","",IF($B342+1&gt;'Qredits maandlasten'!$C$4,"",EOMONTH(E343,0)))</f>
        <v/>
      </c>
      <c r="G343" s="128" t="str">
        <f>IF($B342="","",IF($B342+1&gt;'Qredits maandlasten'!$C$4,"",(_xlfn.DAYS(F343,E343)+1)/DAY(F343)))</f>
        <v/>
      </c>
      <c r="H343" s="129"/>
      <c r="I343" s="130" t="str">
        <f>IF($B342="","",IF($B342+1&gt;'Qredits maandlasten'!$C$4,"",I342-J342))</f>
        <v/>
      </c>
      <c r="J343" s="130" t="str">
        <f>IF($B342="","",IF($B342+1&gt;'Qredits maandlasten'!$C$4,"",IF(B342&lt;'Qredits maandlasten'!$C$11-1,0,IF('Qredits maandlasten'!$C$10=dropdowns!$A$93,'Qredits maandlasten'!$J$3,IF('Qredits maandlasten'!$C$10=dropdowns!$A$92,IFERROR('Qredits maandlasten'!$J$3-K343,0),0)))))</f>
        <v/>
      </c>
      <c r="K343" s="130" t="str">
        <f>IF($B342="","",IF($B342+1&gt;'Qredits maandlasten'!$C$4,"",G343*I343*'Qredits maandlasten'!$C$8))</f>
        <v/>
      </c>
      <c r="L343" s="130" t="str">
        <f t="shared" si="27"/>
        <v/>
      </c>
      <c r="M343" s="130" t="str">
        <f t="shared" si="25"/>
        <v/>
      </c>
      <c r="N343" s="129"/>
      <c r="O343" s="131" t="str">
        <f>IF($B343="","",'Qredits maandlasten'!$C$8)</f>
        <v/>
      </c>
      <c r="P343" s="131" t="str">
        <f>IF($B343="","",'Qredits maandlasten'!$C$8*(POWER(1+'Qredits maandlasten'!$C$8,$B343-1+1)))</f>
        <v/>
      </c>
      <c r="Q343" s="131" t="str">
        <f t="shared" si="28"/>
        <v/>
      </c>
      <c r="R343" s="129"/>
      <c r="S343" s="130" t="str">
        <f t="shared" si="26"/>
        <v/>
      </c>
      <c r="T343" s="130" t="str">
        <f>IF(S343="","",J343/(POWER(1+'Qredits maandlasten'!$C$8,$B343-1+1)))</f>
        <v/>
      </c>
      <c r="U343" s="132" t="str">
        <f t="shared" si="29"/>
        <v/>
      </c>
      <c r="V343" s="130" t="str">
        <f>IF($B343="","",K343/(POWER(1+'Qredits maandlasten'!$C$8,$B343-1+1)))</f>
        <v/>
      </c>
      <c r="W343" s="129"/>
    </row>
    <row r="344" spans="1:23" s="134" customFormat="1" x14ac:dyDescent="0.2">
      <c r="A344" s="125"/>
      <c r="B344" s="126" t="str">
        <f>IF($B343="","",IF($B343+1&gt;'Qredits maandlasten'!$C$4,"",Schema!B343+1))</f>
        <v/>
      </c>
      <c r="C344" s="127" t="str">
        <f>IF($B343="","",IF($B343+1&gt;'Qredits maandlasten'!$C$4,"",EOMONTH(C343,0)+1))</f>
        <v/>
      </c>
      <c r="D344" s="125"/>
      <c r="E344" s="127" t="str">
        <f>IF($B343="","",IF($B343+1&gt;'Qredits maandlasten'!$C$4,"",F343+1))</f>
        <v/>
      </c>
      <c r="F344" s="127" t="str">
        <f>IF($B343="","",IF($B343+1&gt;'Qredits maandlasten'!$C$4,"",EOMONTH(E344,0)))</f>
        <v/>
      </c>
      <c r="G344" s="128" t="str">
        <f>IF($B343="","",IF($B343+1&gt;'Qredits maandlasten'!$C$4,"",(_xlfn.DAYS(F344,E344)+1)/DAY(F344)))</f>
        <v/>
      </c>
      <c r="H344" s="129"/>
      <c r="I344" s="130" t="str">
        <f>IF($B343="","",IF($B343+1&gt;'Qredits maandlasten'!$C$4,"",I343-J343))</f>
        <v/>
      </c>
      <c r="J344" s="130" t="str">
        <f>IF($B343="","",IF($B343+1&gt;'Qredits maandlasten'!$C$4,"",IF(B343&lt;'Qredits maandlasten'!$C$11-1,0,IF('Qredits maandlasten'!$C$10=dropdowns!$A$93,'Qredits maandlasten'!$J$3,IF('Qredits maandlasten'!$C$10=dropdowns!$A$92,IFERROR('Qredits maandlasten'!$J$3-K344,0),0)))))</f>
        <v/>
      </c>
      <c r="K344" s="130" t="str">
        <f>IF($B343="","",IF($B343+1&gt;'Qredits maandlasten'!$C$4,"",G344*I344*'Qredits maandlasten'!$C$8))</f>
        <v/>
      </c>
      <c r="L344" s="130" t="str">
        <f t="shared" si="27"/>
        <v/>
      </c>
      <c r="M344" s="130" t="str">
        <f t="shared" si="25"/>
        <v/>
      </c>
      <c r="N344" s="129"/>
      <c r="O344" s="131" t="str">
        <f>IF($B344="","",'Qredits maandlasten'!$C$8)</f>
        <v/>
      </c>
      <c r="P344" s="131" t="str">
        <f>IF($B344="","",'Qredits maandlasten'!$C$8*(POWER(1+'Qredits maandlasten'!$C$8,$B344-1+1)))</f>
        <v/>
      </c>
      <c r="Q344" s="131" t="str">
        <f t="shared" si="28"/>
        <v/>
      </c>
      <c r="R344" s="129"/>
      <c r="S344" s="130" t="str">
        <f t="shared" si="26"/>
        <v/>
      </c>
      <c r="T344" s="130" t="str">
        <f>IF(S344="","",J344/(POWER(1+'Qredits maandlasten'!$C$8,$B344-1+1)))</f>
        <v/>
      </c>
      <c r="U344" s="132" t="str">
        <f t="shared" si="29"/>
        <v/>
      </c>
      <c r="V344" s="130" t="str">
        <f>IF($B344="","",K344/(POWER(1+'Qredits maandlasten'!$C$8,$B344-1+1)))</f>
        <v/>
      </c>
      <c r="W344" s="129"/>
    </row>
    <row r="345" spans="1:23" s="134" customFormat="1" x14ac:dyDescent="0.2">
      <c r="A345" s="125"/>
      <c r="B345" s="126" t="str">
        <f>IF($B344="","",IF($B344+1&gt;'Qredits maandlasten'!$C$4,"",Schema!B344+1))</f>
        <v/>
      </c>
      <c r="C345" s="127" t="str">
        <f>IF($B344="","",IF($B344+1&gt;'Qredits maandlasten'!$C$4,"",EOMONTH(C344,0)+1))</f>
        <v/>
      </c>
      <c r="D345" s="125"/>
      <c r="E345" s="127" t="str">
        <f>IF($B344="","",IF($B344+1&gt;'Qredits maandlasten'!$C$4,"",F344+1))</f>
        <v/>
      </c>
      <c r="F345" s="127" t="str">
        <f>IF($B344="","",IF($B344+1&gt;'Qredits maandlasten'!$C$4,"",EOMONTH(E345,0)))</f>
        <v/>
      </c>
      <c r="G345" s="128" t="str">
        <f>IF($B344="","",IF($B344+1&gt;'Qredits maandlasten'!$C$4,"",(_xlfn.DAYS(F345,E345)+1)/DAY(F345)))</f>
        <v/>
      </c>
      <c r="H345" s="129"/>
      <c r="I345" s="130" t="str">
        <f>IF($B344="","",IF($B344+1&gt;'Qredits maandlasten'!$C$4,"",I344-J344))</f>
        <v/>
      </c>
      <c r="J345" s="130" t="str">
        <f>IF($B344="","",IF($B344+1&gt;'Qredits maandlasten'!$C$4,"",IF(B344&lt;'Qredits maandlasten'!$C$11-1,0,IF('Qredits maandlasten'!$C$10=dropdowns!$A$93,'Qredits maandlasten'!$J$3,IF('Qredits maandlasten'!$C$10=dropdowns!$A$92,IFERROR('Qredits maandlasten'!$J$3-K345,0),0)))))</f>
        <v/>
      </c>
      <c r="K345" s="130" t="str">
        <f>IF($B344="","",IF($B344+1&gt;'Qredits maandlasten'!$C$4,"",G345*I345*'Qredits maandlasten'!$C$8))</f>
        <v/>
      </c>
      <c r="L345" s="130" t="str">
        <f t="shared" si="27"/>
        <v/>
      </c>
      <c r="M345" s="130" t="str">
        <f t="shared" si="25"/>
        <v/>
      </c>
      <c r="N345" s="129"/>
      <c r="O345" s="131" t="str">
        <f>IF($B345="","",'Qredits maandlasten'!$C$8)</f>
        <v/>
      </c>
      <c r="P345" s="131" t="str">
        <f>IF($B345="","",'Qredits maandlasten'!$C$8*(POWER(1+'Qredits maandlasten'!$C$8,$B345-1+1)))</f>
        <v/>
      </c>
      <c r="Q345" s="131" t="str">
        <f t="shared" si="28"/>
        <v/>
      </c>
      <c r="R345" s="129"/>
      <c r="S345" s="130" t="str">
        <f t="shared" si="26"/>
        <v/>
      </c>
      <c r="T345" s="130" t="str">
        <f>IF(S345="","",J345/(POWER(1+'Qredits maandlasten'!$C$8,$B345-1+1)))</f>
        <v/>
      </c>
      <c r="U345" s="132" t="str">
        <f t="shared" si="29"/>
        <v/>
      </c>
      <c r="V345" s="130" t="str">
        <f>IF($B345="","",K345/(POWER(1+'Qredits maandlasten'!$C$8,$B345-1+1)))</f>
        <v/>
      </c>
      <c r="W345" s="129"/>
    </row>
    <row r="346" spans="1:23" s="134" customFormat="1" x14ac:dyDescent="0.2">
      <c r="A346" s="125"/>
      <c r="B346" s="126" t="str">
        <f>IF($B345="","",IF($B345+1&gt;'Qredits maandlasten'!$C$4,"",Schema!B345+1))</f>
        <v/>
      </c>
      <c r="C346" s="127" t="str">
        <f>IF($B345="","",IF($B345+1&gt;'Qredits maandlasten'!$C$4,"",EOMONTH(C345,0)+1))</f>
        <v/>
      </c>
      <c r="D346" s="125"/>
      <c r="E346" s="127" t="str">
        <f>IF($B345="","",IF($B345+1&gt;'Qredits maandlasten'!$C$4,"",F345+1))</f>
        <v/>
      </c>
      <c r="F346" s="127" t="str">
        <f>IF($B345="","",IF($B345+1&gt;'Qredits maandlasten'!$C$4,"",EOMONTH(E346,0)))</f>
        <v/>
      </c>
      <c r="G346" s="128" t="str">
        <f>IF($B345="","",IF($B345+1&gt;'Qredits maandlasten'!$C$4,"",(_xlfn.DAYS(F346,E346)+1)/DAY(F346)))</f>
        <v/>
      </c>
      <c r="H346" s="129"/>
      <c r="I346" s="130" t="str">
        <f>IF($B345="","",IF($B345+1&gt;'Qredits maandlasten'!$C$4,"",I345-J345))</f>
        <v/>
      </c>
      <c r="J346" s="130" t="str">
        <f>IF($B345="","",IF($B345+1&gt;'Qredits maandlasten'!$C$4,"",IF(B345&lt;'Qredits maandlasten'!$C$11-1,0,IF('Qredits maandlasten'!$C$10=dropdowns!$A$93,'Qredits maandlasten'!$J$3,IF('Qredits maandlasten'!$C$10=dropdowns!$A$92,IFERROR('Qredits maandlasten'!$J$3-K346,0),0)))))</f>
        <v/>
      </c>
      <c r="K346" s="130" t="str">
        <f>IF($B345="","",IF($B345+1&gt;'Qredits maandlasten'!$C$4,"",G346*I346*'Qredits maandlasten'!$C$8))</f>
        <v/>
      </c>
      <c r="L346" s="130" t="str">
        <f t="shared" si="27"/>
        <v/>
      </c>
      <c r="M346" s="130" t="str">
        <f t="shared" si="25"/>
        <v/>
      </c>
      <c r="N346" s="129"/>
      <c r="O346" s="131" t="str">
        <f>IF($B346="","",'Qredits maandlasten'!$C$8)</f>
        <v/>
      </c>
      <c r="P346" s="131" t="str">
        <f>IF($B346="","",'Qredits maandlasten'!$C$8*(POWER(1+'Qredits maandlasten'!$C$8,$B346-1+1)))</f>
        <v/>
      </c>
      <c r="Q346" s="131" t="str">
        <f t="shared" si="28"/>
        <v/>
      </c>
      <c r="R346" s="129"/>
      <c r="S346" s="130" t="str">
        <f t="shared" si="26"/>
        <v/>
      </c>
      <c r="T346" s="130" t="str">
        <f>IF(S346="","",J346/(POWER(1+'Qredits maandlasten'!$C$8,$B346-1+1)))</f>
        <v/>
      </c>
      <c r="U346" s="132" t="str">
        <f t="shared" si="29"/>
        <v/>
      </c>
      <c r="V346" s="130" t="str">
        <f>IF($B346="","",K346/(POWER(1+'Qredits maandlasten'!$C$8,$B346-1+1)))</f>
        <v/>
      </c>
      <c r="W346" s="129"/>
    </row>
    <row r="347" spans="1:23" s="134" customFormat="1" x14ac:dyDescent="0.2">
      <c r="A347" s="125"/>
      <c r="B347" s="126" t="str">
        <f>IF($B346="","",IF($B346+1&gt;'Qredits maandlasten'!$C$4,"",Schema!B346+1))</f>
        <v/>
      </c>
      <c r="C347" s="127" t="str">
        <f>IF($B346="","",IF($B346+1&gt;'Qredits maandlasten'!$C$4,"",EOMONTH(C346,0)+1))</f>
        <v/>
      </c>
      <c r="D347" s="125"/>
      <c r="E347" s="127" t="str">
        <f>IF($B346="","",IF($B346+1&gt;'Qredits maandlasten'!$C$4,"",F346+1))</f>
        <v/>
      </c>
      <c r="F347" s="127" t="str">
        <f>IF($B346="","",IF($B346+1&gt;'Qredits maandlasten'!$C$4,"",EOMONTH(E347,0)))</f>
        <v/>
      </c>
      <c r="G347" s="128" t="str">
        <f>IF($B346="","",IF($B346+1&gt;'Qredits maandlasten'!$C$4,"",(_xlfn.DAYS(F347,E347)+1)/DAY(F347)))</f>
        <v/>
      </c>
      <c r="H347" s="129"/>
      <c r="I347" s="130" t="str">
        <f>IF($B346="","",IF($B346+1&gt;'Qredits maandlasten'!$C$4,"",I346-J346))</f>
        <v/>
      </c>
      <c r="J347" s="130" t="str">
        <f>IF($B346="","",IF($B346+1&gt;'Qredits maandlasten'!$C$4,"",IF(B346&lt;'Qredits maandlasten'!$C$11-1,0,IF('Qredits maandlasten'!$C$10=dropdowns!$A$93,'Qredits maandlasten'!$J$3,IF('Qredits maandlasten'!$C$10=dropdowns!$A$92,IFERROR('Qredits maandlasten'!$J$3-K347,0),0)))))</f>
        <v/>
      </c>
      <c r="K347" s="130" t="str">
        <f>IF($B346="","",IF($B346+1&gt;'Qredits maandlasten'!$C$4,"",G347*I347*'Qredits maandlasten'!$C$8))</f>
        <v/>
      </c>
      <c r="L347" s="130" t="str">
        <f t="shared" si="27"/>
        <v/>
      </c>
      <c r="M347" s="130" t="str">
        <f t="shared" si="25"/>
        <v/>
      </c>
      <c r="N347" s="129"/>
      <c r="O347" s="131" t="str">
        <f>IF($B347="","",'Qredits maandlasten'!$C$8)</f>
        <v/>
      </c>
      <c r="P347" s="131" t="str">
        <f>IF($B347="","",'Qredits maandlasten'!$C$8*(POWER(1+'Qredits maandlasten'!$C$8,$B347-1+1)))</f>
        <v/>
      </c>
      <c r="Q347" s="131" t="str">
        <f t="shared" si="28"/>
        <v/>
      </c>
      <c r="R347" s="129"/>
      <c r="S347" s="130" t="str">
        <f t="shared" si="26"/>
        <v/>
      </c>
      <c r="T347" s="130" t="str">
        <f>IF(S347="","",J347/(POWER(1+'Qredits maandlasten'!$C$8,$B347-1+1)))</f>
        <v/>
      </c>
      <c r="U347" s="132" t="str">
        <f t="shared" si="29"/>
        <v/>
      </c>
      <c r="V347" s="130" t="str">
        <f>IF($B347="","",K347/(POWER(1+'Qredits maandlasten'!$C$8,$B347-1+1)))</f>
        <v/>
      </c>
      <c r="W347" s="129"/>
    </row>
    <row r="348" spans="1:23" s="134" customFormat="1" x14ac:dyDescent="0.2">
      <c r="A348" s="125"/>
      <c r="B348" s="126" t="str">
        <f>IF($B347="","",IF($B347+1&gt;'Qredits maandlasten'!$C$4,"",Schema!B347+1))</f>
        <v/>
      </c>
      <c r="C348" s="127" t="str">
        <f>IF($B347="","",IF($B347+1&gt;'Qredits maandlasten'!$C$4,"",EOMONTH(C347,0)+1))</f>
        <v/>
      </c>
      <c r="D348" s="125"/>
      <c r="E348" s="127" t="str">
        <f>IF($B347="","",IF($B347+1&gt;'Qredits maandlasten'!$C$4,"",F347+1))</f>
        <v/>
      </c>
      <c r="F348" s="127" t="str">
        <f>IF($B347="","",IF($B347+1&gt;'Qredits maandlasten'!$C$4,"",EOMONTH(E348,0)))</f>
        <v/>
      </c>
      <c r="G348" s="128" t="str">
        <f>IF($B347="","",IF($B347+1&gt;'Qredits maandlasten'!$C$4,"",(_xlfn.DAYS(F348,E348)+1)/DAY(F348)))</f>
        <v/>
      </c>
      <c r="H348" s="129"/>
      <c r="I348" s="130" t="str">
        <f>IF($B347="","",IF($B347+1&gt;'Qredits maandlasten'!$C$4,"",I347-J347))</f>
        <v/>
      </c>
      <c r="J348" s="130" t="str">
        <f>IF($B347="","",IF($B347+1&gt;'Qredits maandlasten'!$C$4,"",IF(B347&lt;'Qredits maandlasten'!$C$11-1,0,IF('Qredits maandlasten'!$C$10=dropdowns!$A$93,'Qredits maandlasten'!$J$3,IF('Qredits maandlasten'!$C$10=dropdowns!$A$92,IFERROR('Qredits maandlasten'!$J$3-K348,0),0)))))</f>
        <v/>
      </c>
      <c r="K348" s="130" t="str">
        <f>IF($B347="","",IF($B347+1&gt;'Qredits maandlasten'!$C$4,"",G348*I348*'Qredits maandlasten'!$C$8))</f>
        <v/>
      </c>
      <c r="L348" s="130" t="str">
        <f t="shared" si="27"/>
        <v/>
      </c>
      <c r="M348" s="130" t="str">
        <f t="shared" si="25"/>
        <v/>
      </c>
      <c r="N348" s="129"/>
      <c r="O348" s="131" t="str">
        <f>IF($B348="","",'Qredits maandlasten'!$C$8)</f>
        <v/>
      </c>
      <c r="P348" s="131" t="str">
        <f>IF($B348="","",'Qredits maandlasten'!$C$8*(POWER(1+'Qredits maandlasten'!$C$8,$B348-1+1)))</f>
        <v/>
      </c>
      <c r="Q348" s="131" t="str">
        <f t="shared" si="28"/>
        <v/>
      </c>
      <c r="R348" s="129"/>
      <c r="S348" s="130" t="str">
        <f t="shared" si="26"/>
        <v/>
      </c>
      <c r="T348" s="130" t="str">
        <f>IF(S348="","",J348/(POWER(1+'Qredits maandlasten'!$C$8,$B348-1+1)))</f>
        <v/>
      </c>
      <c r="U348" s="132" t="str">
        <f t="shared" si="29"/>
        <v/>
      </c>
      <c r="V348" s="130" t="str">
        <f>IF($B348="","",K348/(POWER(1+'Qredits maandlasten'!$C$8,$B348-1+1)))</f>
        <v/>
      </c>
      <c r="W348" s="129"/>
    </row>
    <row r="349" spans="1:23" s="134" customFormat="1" x14ac:dyDescent="0.2">
      <c r="A349" s="125"/>
      <c r="B349" s="126" t="str">
        <f>IF($B348="","",IF($B348+1&gt;'Qredits maandlasten'!$C$4,"",Schema!B348+1))</f>
        <v/>
      </c>
      <c r="C349" s="127" t="str">
        <f>IF($B348="","",IF($B348+1&gt;'Qredits maandlasten'!$C$4,"",EOMONTH(C348,0)+1))</f>
        <v/>
      </c>
      <c r="D349" s="125"/>
      <c r="E349" s="127" t="str">
        <f>IF($B348="","",IF($B348+1&gt;'Qredits maandlasten'!$C$4,"",F348+1))</f>
        <v/>
      </c>
      <c r="F349" s="127" t="str">
        <f>IF($B348="","",IF($B348+1&gt;'Qredits maandlasten'!$C$4,"",EOMONTH(E349,0)))</f>
        <v/>
      </c>
      <c r="G349" s="128" t="str">
        <f>IF($B348="","",IF($B348+1&gt;'Qredits maandlasten'!$C$4,"",(_xlfn.DAYS(F349,E349)+1)/DAY(F349)))</f>
        <v/>
      </c>
      <c r="H349" s="129"/>
      <c r="I349" s="130" t="str">
        <f>IF($B348="","",IF($B348+1&gt;'Qredits maandlasten'!$C$4,"",I348-J348))</f>
        <v/>
      </c>
      <c r="J349" s="130" t="str">
        <f>IF($B348="","",IF($B348+1&gt;'Qredits maandlasten'!$C$4,"",IF(B348&lt;'Qredits maandlasten'!$C$11-1,0,IF('Qredits maandlasten'!$C$10=dropdowns!$A$93,'Qredits maandlasten'!$J$3,IF('Qredits maandlasten'!$C$10=dropdowns!$A$92,IFERROR('Qredits maandlasten'!$J$3-K349,0),0)))))</f>
        <v/>
      </c>
      <c r="K349" s="130" t="str">
        <f>IF($B348="","",IF($B348+1&gt;'Qredits maandlasten'!$C$4,"",G349*I349*'Qredits maandlasten'!$C$8))</f>
        <v/>
      </c>
      <c r="L349" s="130" t="str">
        <f t="shared" si="27"/>
        <v/>
      </c>
      <c r="M349" s="130" t="str">
        <f t="shared" si="25"/>
        <v/>
      </c>
      <c r="N349" s="129"/>
      <c r="O349" s="131" t="str">
        <f>IF($B349="","",'Qredits maandlasten'!$C$8)</f>
        <v/>
      </c>
      <c r="P349" s="131" t="str">
        <f>IF($B349="","",'Qredits maandlasten'!$C$8*(POWER(1+'Qredits maandlasten'!$C$8,$B349-1+1)))</f>
        <v/>
      </c>
      <c r="Q349" s="131" t="str">
        <f t="shared" si="28"/>
        <v/>
      </c>
      <c r="R349" s="129"/>
      <c r="S349" s="130" t="str">
        <f t="shared" si="26"/>
        <v/>
      </c>
      <c r="T349" s="130" t="str">
        <f>IF(S349="","",J349/(POWER(1+'Qredits maandlasten'!$C$8,$B349-1+1)))</f>
        <v/>
      </c>
      <c r="U349" s="132" t="str">
        <f t="shared" si="29"/>
        <v/>
      </c>
      <c r="V349" s="130" t="str">
        <f>IF($B349="","",K349/(POWER(1+'Qredits maandlasten'!$C$8,$B349-1+1)))</f>
        <v/>
      </c>
      <c r="W349" s="129"/>
    </row>
    <row r="350" spans="1:23" s="134" customFormat="1" x14ac:dyDescent="0.2">
      <c r="A350" s="125"/>
      <c r="B350" s="126" t="str">
        <f>IF($B349="","",IF($B349+1&gt;'Qredits maandlasten'!$C$4,"",Schema!B349+1))</f>
        <v/>
      </c>
      <c r="C350" s="127" t="str">
        <f>IF($B349="","",IF($B349+1&gt;'Qredits maandlasten'!$C$4,"",EOMONTH(C349,0)+1))</f>
        <v/>
      </c>
      <c r="D350" s="125"/>
      <c r="E350" s="127" t="str">
        <f>IF($B349="","",IF($B349+1&gt;'Qredits maandlasten'!$C$4,"",F349+1))</f>
        <v/>
      </c>
      <c r="F350" s="127" t="str">
        <f>IF($B349="","",IF($B349+1&gt;'Qredits maandlasten'!$C$4,"",EOMONTH(E350,0)))</f>
        <v/>
      </c>
      <c r="G350" s="128" t="str">
        <f>IF($B349="","",IF($B349+1&gt;'Qredits maandlasten'!$C$4,"",(_xlfn.DAYS(F350,E350)+1)/DAY(F350)))</f>
        <v/>
      </c>
      <c r="H350" s="129"/>
      <c r="I350" s="130" t="str">
        <f>IF($B349="","",IF($B349+1&gt;'Qredits maandlasten'!$C$4,"",I349-J349))</f>
        <v/>
      </c>
      <c r="J350" s="130" t="str">
        <f>IF($B349="","",IF($B349+1&gt;'Qredits maandlasten'!$C$4,"",IF(B349&lt;'Qredits maandlasten'!$C$11-1,0,IF('Qredits maandlasten'!$C$10=dropdowns!$A$93,'Qredits maandlasten'!$J$3,IF('Qredits maandlasten'!$C$10=dropdowns!$A$92,IFERROR('Qredits maandlasten'!$J$3-K350,0),0)))))</f>
        <v/>
      </c>
      <c r="K350" s="130" t="str">
        <f>IF($B349="","",IF($B349+1&gt;'Qredits maandlasten'!$C$4,"",G350*I350*'Qredits maandlasten'!$C$8))</f>
        <v/>
      </c>
      <c r="L350" s="130" t="str">
        <f t="shared" si="27"/>
        <v/>
      </c>
      <c r="M350" s="130" t="str">
        <f t="shared" si="25"/>
        <v/>
      </c>
      <c r="N350" s="129"/>
      <c r="O350" s="131" t="str">
        <f>IF($B350="","",'Qredits maandlasten'!$C$8)</f>
        <v/>
      </c>
      <c r="P350" s="131" t="str">
        <f>IF($B350="","",'Qredits maandlasten'!$C$8*(POWER(1+'Qredits maandlasten'!$C$8,$B350-1+1)))</f>
        <v/>
      </c>
      <c r="Q350" s="131" t="str">
        <f t="shared" si="28"/>
        <v/>
      </c>
      <c r="R350" s="129"/>
      <c r="S350" s="130" t="str">
        <f t="shared" si="26"/>
        <v/>
      </c>
      <c r="T350" s="130" t="str">
        <f>IF(S350="","",J350/(POWER(1+'Qredits maandlasten'!$C$8,$B350-1+1)))</f>
        <v/>
      </c>
      <c r="U350" s="132" t="str">
        <f t="shared" si="29"/>
        <v/>
      </c>
      <c r="V350" s="130" t="str">
        <f>IF($B350="","",K350/(POWER(1+'Qredits maandlasten'!$C$8,$B350-1+1)))</f>
        <v/>
      </c>
      <c r="W350" s="129"/>
    </row>
    <row r="351" spans="1:23" s="134" customFormat="1" x14ac:dyDescent="0.2">
      <c r="A351" s="125"/>
      <c r="B351" s="126" t="str">
        <f>IF($B350="","",IF($B350+1&gt;'Qredits maandlasten'!$C$4,"",Schema!B350+1))</f>
        <v/>
      </c>
      <c r="C351" s="127" t="str">
        <f>IF($B350="","",IF($B350+1&gt;'Qredits maandlasten'!$C$4,"",EOMONTH(C350,0)+1))</f>
        <v/>
      </c>
      <c r="D351" s="125"/>
      <c r="E351" s="127" t="str">
        <f>IF($B350="","",IF($B350+1&gt;'Qredits maandlasten'!$C$4,"",F350+1))</f>
        <v/>
      </c>
      <c r="F351" s="127" t="str">
        <f>IF($B350="","",IF($B350+1&gt;'Qredits maandlasten'!$C$4,"",EOMONTH(E351,0)))</f>
        <v/>
      </c>
      <c r="G351" s="128" t="str">
        <f>IF($B350="","",IF($B350+1&gt;'Qredits maandlasten'!$C$4,"",(_xlfn.DAYS(F351,E351)+1)/DAY(F351)))</f>
        <v/>
      </c>
      <c r="H351" s="129"/>
      <c r="I351" s="130" t="str">
        <f>IF($B350="","",IF($B350+1&gt;'Qredits maandlasten'!$C$4,"",I350-J350))</f>
        <v/>
      </c>
      <c r="J351" s="130" t="str">
        <f>IF($B350="","",IF($B350+1&gt;'Qredits maandlasten'!$C$4,"",IF(B350&lt;'Qredits maandlasten'!$C$11-1,0,IF('Qredits maandlasten'!$C$10=dropdowns!$A$93,'Qredits maandlasten'!$J$3,IF('Qredits maandlasten'!$C$10=dropdowns!$A$92,IFERROR('Qredits maandlasten'!$J$3-K351,0),0)))))</f>
        <v/>
      </c>
      <c r="K351" s="130" t="str">
        <f>IF($B350="","",IF($B350+1&gt;'Qredits maandlasten'!$C$4,"",G351*I351*'Qredits maandlasten'!$C$8))</f>
        <v/>
      </c>
      <c r="L351" s="130" t="str">
        <f t="shared" si="27"/>
        <v/>
      </c>
      <c r="M351" s="130" t="str">
        <f t="shared" si="25"/>
        <v/>
      </c>
      <c r="N351" s="129"/>
      <c r="O351" s="131" t="str">
        <f>IF($B351="","",'Qredits maandlasten'!$C$8)</f>
        <v/>
      </c>
      <c r="P351" s="131" t="str">
        <f>IF($B351="","",'Qredits maandlasten'!$C$8*(POWER(1+'Qredits maandlasten'!$C$8,$B351-1+1)))</f>
        <v/>
      </c>
      <c r="Q351" s="131" t="str">
        <f t="shared" si="28"/>
        <v/>
      </c>
      <c r="R351" s="129"/>
      <c r="S351" s="130" t="str">
        <f t="shared" si="26"/>
        <v/>
      </c>
      <c r="T351" s="130" t="str">
        <f>IF(S351="","",J351/(POWER(1+'Qredits maandlasten'!$C$8,$B351-1+1)))</f>
        <v/>
      </c>
      <c r="U351" s="132" t="str">
        <f t="shared" si="29"/>
        <v/>
      </c>
      <c r="V351" s="130" t="str">
        <f>IF($B351="","",K351/(POWER(1+'Qredits maandlasten'!$C$8,$B351-1+1)))</f>
        <v/>
      </c>
      <c r="W351" s="129"/>
    </row>
    <row r="352" spans="1:23" s="134" customFormat="1" x14ac:dyDescent="0.2">
      <c r="A352" s="125"/>
      <c r="B352" s="126" t="str">
        <f>IF($B351="","",IF($B351+1&gt;'Qredits maandlasten'!$C$4,"",Schema!B351+1))</f>
        <v/>
      </c>
      <c r="C352" s="127" t="str">
        <f>IF($B351="","",IF($B351+1&gt;'Qredits maandlasten'!$C$4,"",EOMONTH(C351,0)+1))</f>
        <v/>
      </c>
      <c r="D352" s="125"/>
      <c r="E352" s="127" t="str">
        <f>IF($B351="","",IF($B351+1&gt;'Qredits maandlasten'!$C$4,"",F351+1))</f>
        <v/>
      </c>
      <c r="F352" s="127" t="str">
        <f>IF($B351="","",IF($B351+1&gt;'Qredits maandlasten'!$C$4,"",EOMONTH(E352,0)))</f>
        <v/>
      </c>
      <c r="G352" s="128" t="str">
        <f>IF($B351="","",IF($B351+1&gt;'Qredits maandlasten'!$C$4,"",(_xlfn.DAYS(F352,E352)+1)/DAY(F352)))</f>
        <v/>
      </c>
      <c r="H352" s="129"/>
      <c r="I352" s="130" t="str">
        <f>IF($B351="","",IF($B351+1&gt;'Qredits maandlasten'!$C$4,"",I351-J351))</f>
        <v/>
      </c>
      <c r="J352" s="130" t="str">
        <f>IF($B351="","",IF($B351+1&gt;'Qredits maandlasten'!$C$4,"",IF(B351&lt;'Qredits maandlasten'!$C$11-1,0,IF('Qredits maandlasten'!$C$10=dropdowns!$A$93,'Qredits maandlasten'!$J$3,IF('Qredits maandlasten'!$C$10=dropdowns!$A$92,IFERROR('Qredits maandlasten'!$J$3-K352,0),0)))))</f>
        <v/>
      </c>
      <c r="K352" s="130" t="str">
        <f>IF($B351="","",IF($B351+1&gt;'Qredits maandlasten'!$C$4,"",G352*I352*'Qredits maandlasten'!$C$8))</f>
        <v/>
      </c>
      <c r="L352" s="130" t="str">
        <f t="shared" si="27"/>
        <v/>
      </c>
      <c r="M352" s="130" t="str">
        <f t="shared" si="25"/>
        <v/>
      </c>
      <c r="N352" s="129"/>
      <c r="O352" s="131" t="str">
        <f>IF($B352="","",'Qredits maandlasten'!$C$8)</f>
        <v/>
      </c>
      <c r="P352" s="131" t="str">
        <f>IF($B352="","",'Qredits maandlasten'!$C$8*(POWER(1+'Qredits maandlasten'!$C$8,$B352-1+1)))</f>
        <v/>
      </c>
      <c r="Q352" s="131" t="str">
        <f t="shared" si="28"/>
        <v/>
      </c>
      <c r="R352" s="129"/>
      <c r="S352" s="130" t="str">
        <f t="shared" si="26"/>
        <v/>
      </c>
      <c r="T352" s="130" t="str">
        <f>IF(S352="","",J352/(POWER(1+'Qredits maandlasten'!$C$8,$B352-1+1)))</f>
        <v/>
      </c>
      <c r="U352" s="132" t="str">
        <f t="shared" si="29"/>
        <v/>
      </c>
      <c r="V352" s="130" t="str">
        <f>IF($B352="","",K352/(POWER(1+'Qredits maandlasten'!$C$8,$B352-1+1)))</f>
        <v/>
      </c>
      <c r="W352" s="129"/>
    </row>
    <row r="353" spans="1:23" s="134" customFormat="1" x14ac:dyDescent="0.2">
      <c r="A353" s="125"/>
      <c r="B353" s="126" t="str">
        <f>IF($B352="","",IF($B352+1&gt;'Qredits maandlasten'!$C$4,"",Schema!B352+1))</f>
        <v/>
      </c>
      <c r="C353" s="127" t="str">
        <f>IF($B352="","",IF($B352+1&gt;'Qredits maandlasten'!$C$4,"",EOMONTH(C352,0)+1))</f>
        <v/>
      </c>
      <c r="D353" s="125"/>
      <c r="E353" s="127" t="str">
        <f>IF($B352="","",IF($B352+1&gt;'Qredits maandlasten'!$C$4,"",F352+1))</f>
        <v/>
      </c>
      <c r="F353" s="127" t="str">
        <f>IF($B352="","",IF($B352+1&gt;'Qredits maandlasten'!$C$4,"",EOMONTH(E353,0)))</f>
        <v/>
      </c>
      <c r="G353" s="128" t="str">
        <f>IF($B352="","",IF($B352+1&gt;'Qredits maandlasten'!$C$4,"",(_xlfn.DAYS(F353,E353)+1)/DAY(F353)))</f>
        <v/>
      </c>
      <c r="H353" s="129"/>
      <c r="I353" s="130" t="str">
        <f>IF($B352="","",IF($B352+1&gt;'Qredits maandlasten'!$C$4,"",I352-J352))</f>
        <v/>
      </c>
      <c r="J353" s="130" t="str">
        <f>IF($B352="","",IF($B352+1&gt;'Qredits maandlasten'!$C$4,"",IF(B352&lt;'Qredits maandlasten'!$C$11-1,0,IF('Qredits maandlasten'!$C$10=dropdowns!$A$93,'Qredits maandlasten'!$J$3,IF('Qredits maandlasten'!$C$10=dropdowns!$A$92,IFERROR('Qredits maandlasten'!$J$3-K353,0),0)))))</f>
        <v/>
      </c>
      <c r="K353" s="130" t="str">
        <f>IF($B352="","",IF($B352+1&gt;'Qredits maandlasten'!$C$4,"",G353*I353*'Qredits maandlasten'!$C$8))</f>
        <v/>
      </c>
      <c r="L353" s="130" t="str">
        <f t="shared" si="27"/>
        <v/>
      </c>
      <c r="M353" s="130" t="str">
        <f t="shared" si="25"/>
        <v/>
      </c>
      <c r="N353" s="129"/>
      <c r="O353" s="131" t="str">
        <f>IF($B353="","",'Qredits maandlasten'!$C$8)</f>
        <v/>
      </c>
      <c r="P353" s="131" t="str">
        <f>IF($B353="","",'Qredits maandlasten'!$C$8*(POWER(1+'Qredits maandlasten'!$C$8,$B353-1+1)))</f>
        <v/>
      </c>
      <c r="Q353" s="131" t="str">
        <f t="shared" si="28"/>
        <v/>
      </c>
      <c r="R353" s="129"/>
      <c r="S353" s="130" t="str">
        <f t="shared" si="26"/>
        <v/>
      </c>
      <c r="T353" s="130" t="str">
        <f>IF(S353="","",J353/(POWER(1+'Qredits maandlasten'!$C$8,$B353-1+1)))</f>
        <v/>
      </c>
      <c r="U353" s="132" t="str">
        <f t="shared" si="29"/>
        <v/>
      </c>
      <c r="V353" s="130" t="str">
        <f>IF($B353="","",K353/(POWER(1+'Qredits maandlasten'!$C$8,$B353-1+1)))</f>
        <v/>
      </c>
      <c r="W353" s="129"/>
    </row>
    <row r="354" spans="1:23" s="134" customFormat="1" x14ac:dyDescent="0.2">
      <c r="A354" s="125"/>
      <c r="B354" s="126" t="str">
        <f>IF($B353="","",IF($B353+1&gt;'Qredits maandlasten'!$C$4,"",Schema!B353+1))</f>
        <v/>
      </c>
      <c r="C354" s="127" t="str">
        <f>IF($B353="","",IF($B353+1&gt;'Qredits maandlasten'!$C$4,"",EOMONTH(C353,0)+1))</f>
        <v/>
      </c>
      <c r="D354" s="125"/>
      <c r="E354" s="127" t="str">
        <f>IF($B353="","",IF($B353+1&gt;'Qredits maandlasten'!$C$4,"",F353+1))</f>
        <v/>
      </c>
      <c r="F354" s="127" t="str">
        <f>IF($B353="","",IF($B353+1&gt;'Qredits maandlasten'!$C$4,"",EOMONTH(E354,0)))</f>
        <v/>
      </c>
      <c r="G354" s="128" t="str">
        <f>IF($B353="","",IF($B353+1&gt;'Qredits maandlasten'!$C$4,"",(_xlfn.DAYS(F354,E354)+1)/DAY(F354)))</f>
        <v/>
      </c>
      <c r="H354" s="129"/>
      <c r="I354" s="130" t="str">
        <f>IF($B353="","",IF($B353+1&gt;'Qredits maandlasten'!$C$4,"",I353-J353))</f>
        <v/>
      </c>
      <c r="J354" s="130" t="str">
        <f>IF($B353="","",IF($B353+1&gt;'Qredits maandlasten'!$C$4,"",IF(B353&lt;'Qredits maandlasten'!$C$11-1,0,IF('Qredits maandlasten'!$C$10=dropdowns!$A$93,'Qredits maandlasten'!$J$3,IF('Qredits maandlasten'!$C$10=dropdowns!$A$92,IFERROR('Qredits maandlasten'!$J$3-K354,0),0)))))</f>
        <v/>
      </c>
      <c r="K354" s="130" t="str">
        <f>IF($B353="","",IF($B353+1&gt;'Qredits maandlasten'!$C$4,"",G354*I354*'Qredits maandlasten'!$C$8))</f>
        <v/>
      </c>
      <c r="L354" s="130" t="str">
        <f t="shared" si="27"/>
        <v/>
      </c>
      <c r="M354" s="130" t="str">
        <f t="shared" si="25"/>
        <v/>
      </c>
      <c r="N354" s="129"/>
      <c r="O354" s="131" t="str">
        <f>IF($B354="","",'Qredits maandlasten'!$C$8)</f>
        <v/>
      </c>
      <c r="P354" s="131" t="str">
        <f>IF($B354="","",'Qredits maandlasten'!$C$8*(POWER(1+'Qredits maandlasten'!$C$8,$B354-1+1)))</f>
        <v/>
      </c>
      <c r="Q354" s="131" t="str">
        <f t="shared" si="28"/>
        <v/>
      </c>
      <c r="R354" s="129"/>
      <c r="S354" s="130" t="str">
        <f t="shared" si="26"/>
        <v/>
      </c>
      <c r="T354" s="130" t="str">
        <f>IF(S354="","",J354/(POWER(1+'Qredits maandlasten'!$C$8,$B354-1+1)))</f>
        <v/>
      </c>
      <c r="U354" s="132" t="str">
        <f t="shared" si="29"/>
        <v/>
      </c>
      <c r="V354" s="130" t="str">
        <f>IF($B354="","",K354/(POWER(1+'Qredits maandlasten'!$C$8,$B354-1+1)))</f>
        <v/>
      </c>
      <c r="W354" s="129"/>
    </row>
    <row r="355" spans="1:23" s="134" customFormat="1" x14ac:dyDescent="0.2">
      <c r="A355" s="125"/>
      <c r="B355" s="126" t="str">
        <f>IF($B354="","",IF($B354+1&gt;'Qredits maandlasten'!$C$4,"",Schema!B354+1))</f>
        <v/>
      </c>
      <c r="C355" s="127" t="str">
        <f>IF($B354="","",IF($B354+1&gt;'Qredits maandlasten'!$C$4,"",EOMONTH(C354,0)+1))</f>
        <v/>
      </c>
      <c r="D355" s="125"/>
      <c r="E355" s="127" t="str">
        <f>IF($B354="","",IF($B354+1&gt;'Qredits maandlasten'!$C$4,"",F354+1))</f>
        <v/>
      </c>
      <c r="F355" s="127" t="str">
        <f>IF($B354="","",IF($B354+1&gt;'Qredits maandlasten'!$C$4,"",EOMONTH(E355,0)))</f>
        <v/>
      </c>
      <c r="G355" s="128" t="str">
        <f>IF($B354="","",IF($B354+1&gt;'Qredits maandlasten'!$C$4,"",(_xlfn.DAYS(F355,E355)+1)/DAY(F355)))</f>
        <v/>
      </c>
      <c r="H355" s="129"/>
      <c r="I355" s="130" t="str">
        <f>IF($B354="","",IF($B354+1&gt;'Qredits maandlasten'!$C$4,"",I354-J354))</f>
        <v/>
      </c>
      <c r="J355" s="130" t="str">
        <f>IF($B354="","",IF($B354+1&gt;'Qredits maandlasten'!$C$4,"",IF(B354&lt;'Qredits maandlasten'!$C$11-1,0,IF('Qredits maandlasten'!$C$10=dropdowns!$A$93,'Qredits maandlasten'!$J$3,IF('Qredits maandlasten'!$C$10=dropdowns!$A$92,IFERROR('Qredits maandlasten'!$J$3-K355,0),0)))))</f>
        <v/>
      </c>
      <c r="K355" s="130" t="str">
        <f>IF($B354="","",IF($B354+1&gt;'Qredits maandlasten'!$C$4,"",G355*I355*'Qredits maandlasten'!$C$8))</f>
        <v/>
      </c>
      <c r="L355" s="130" t="str">
        <f t="shared" si="27"/>
        <v/>
      </c>
      <c r="M355" s="130" t="str">
        <f t="shared" si="25"/>
        <v/>
      </c>
      <c r="N355" s="129"/>
      <c r="O355" s="131" t="str">
        <f>IF($B355="","",'Qredits maandlasten'!$C$8)</f>
        <v/>
      </c>
      <c r="P355" s="131" t="str">
        <f>IF($B355="","",'Qredits maandlasten'!$C$8*(POWER(1+'Qredits maandlasten'!$C$8,$B355-1+1)))</f>
        <v/>
      </c>
      <c r="Q355" s="131" t="str">
        <f t="shared" si="28"/>
        <v/>
      </c>
      <c r="R355" s="129"/>
      <c r="S355" s="130" t="str">
        <f t="shared" si="26"/>
        <v/>
      </c>
      <c r="T355" s="130" t="str">
        <f>IF(S355="","",J355/(POWER(1+'Qredits maandlasten'!$C$8,$B355-1+1)))</f>
        <v/>
      </c>
      <c r="U355" s="132" t="str">
        <f t="shared" si="29"/>
        <v/>
      </c>
      <c r="V355" s="130" t="str">
        <f>IF($B355="","",K355/(POWER(1+'Qredits maandlasten'!$C$8,$B355-1+1)))</f>
        <v/>
      </c>
      <c r="W355" s="129"/>
    </row>
    <row r="356" spans="1:23" s="134" customFormat="1" x14ac:dyDescent="0.2">
      <c r="A356" s="125"/>
      <c r="B356" s="126" t="str">
        <f>IF($B355="","",IF($B355+1&gt;'Qredits maandlasten'!$C$4,"",Schema!B355+1))</f>
        <v/>
      </c>
      <c r="C356" s="127" t="str">
        <f>IF($B355="","",IF($B355+1&gt;'Qredits maandlasten'!$C$4,"",EOMONTH(C355,0)+1))</f>
        <v/>
      </c>
      <c r="D356" s="125"/>
      <c r="E356" s="127" t="str">
        <f>IF($B355="","",IF($B355+1&gt;'Qredits maandlasten'!$C$4,"",F355+1))</f>
        <v/>
      </c>
      <c r="F356" s="127" t="str">
        <f>IF($B355="","",IF($B355+1&gt;'Qredits maandlasten'!$C$4,"",EOMONTH(E356,0)))</f>
        <v/>
      </c>
      <c r="G356" s="128" t="str">
        <f>IF($B355="","",IF($B355+1&gt;'Qredits maandlasten'!$C$4,"",(_xlfn.DAYS(F356,E356)+1)/DAY(F356)))</f>
        <v/>
      </c>
      <c r="H356" s="129"/>
      <c r="I356" s="130" t="str">
        <f>IF($B355="","",IF($B355+1&gt;'Qredits maandlasten'!$C$4,"",I355-J355))</f>
        <v/>
      </c>
      <c r="J356" s="130" t="str">
        <f>IF($B355="","",IF($B355+1&gt;'Qredits maandlasten'!$C$4,"",IF(B355&lt;'Qredits maandlasten'!$C$11-1,0,IF('Qredits maandlasten'!$C$10=dropdowns!$A$93,'Qredits maandlasten'!$J$3,IF('Qredits maandlasten'!$C$10=dropdowns!$A$92,IFERROR('Qredits maandlasten'!$J$3-K356,0),0)))))</f>
        <v/>
      </c>
      <c r="K356" s="130" t="str">
        <f>IF($B355="","",IF($B355+1&gt;'Qredits maandlasten'!$C$4,"",G356*I356*'Qredits maandlasten'!$C$8))</f>
        <v/>
      </c>
      <c r="L356" s="130" t="str">
        <f t="shared" si="27"/>
        <v/>
      </c>
      <c r="M356" s="130" t="str">
        <f t="shared" si="25"/>
        <v/>
      </c>
      <c r="N356" s="129"/>
      <c r="O356" s="131" t="str">
        <f>IF($B356="","",'Qredits maandlasten'!$C$8)</f>
        <v/>
      </c>
      <c r="P356" s="131" t="str">
        <f>IF($B356="","",'Qredits maandlasten'!$C$8*(POWER(1+'Qredits maandlasten'!$C$8,$B356-1+1)))</f>
        <v/>
      </c>
      <c r="Q356" s="131" t="str">
        <f t="shared" si="28"/>
        <v/>
      </c>
      <c r="R356" s="129"/>
      <c r="S356" s="130" t="str">
        <f t="shared" si="26"/>
        <v/>
      </c>
      <c r="T356" s="130" t="str">
        <f>IF(S356="","",J356/(POWER(1+'Qredits maandlasten'!$C$8,$B356-1+1)))</f>
        <v/>
      </c>
      <c r="U356" s="132" t="str">
        <f t="shared" si="29"/>
        <v/>
      </c>
      <c r="V356" s="130" t="str">
        <f>IF($B356="","",K356/(POWER(1+'Qredits maandlasten'!$C$8,$B356-1+1)))</f>
        <v/>
      </c>
      <c r="W356" s="129"/>
    </row>
    <row r="357" spans="1:23" s="134" customFormat="1" x14ac:dyDescent="0.2">
      <c r="A357" s="125"/>
      <c r="B357" s="126" t="str">
        <f>IF($B356="","",IF($B356+1&gt;'Qredits maandlasten'!$C$4,"",Schema!B356+1))</f>
        <v/>
      </c>
      <c r="C357" s="127" t="str">
        <f>IF($B356="","",IF($B356+1&gt;'Qredits maandlasten'!$C$4,"",EOMONTH(C356,0)+1))</f>
        <v/>
      </c>
      <c r="D357" s="125"/>
      <c r="E357" s="127" t="str">
        <f>IF($B356="","",IF($B356+1&gt;'Qredits maandlasten'!$C$4,"",F356+1))</f>
        <v/>
      </c>
      <c r="F357" s="127" t="str">
        <f>IF($B356="","",IF($B356+1&gt;'Qredits maandlasten'!$C$4,"",EOMONTH(E357,0)))</f>
        <v/>
      </c>
      <c r="G357" s="128" t="str">
        <f>IF($B356="","",IF($B356+1&gt;'Qredits maandlasten'!$C$4,"",(_xlfn.DAYS(F357,E357)+1)/DAY(F357)))</f>
        <v/>
      </c>
      <c r="H357" s="129"/>
      <c r="I357" s="130" t="str">
        <f>IF($B356="","",IF($B356+1&gt;'Qredits maandlasten'!$C$4,"",I356-J356))</f>
        <v/>
      </c>
      <c r="J357" s="130" t="str">
        <f>IF($B356="","",IF($B356+1&gt;'Qredits maandlasten'!$C$4,"",IF(B356&lt;'Qredits maandlasten'!$C$11-1,0,IF('Qredits maandlasten'!$C$10=dropdowns!$A$93,'Qredits maandlasten'!$J$3,IF('Qredits maandlasten'!$C$10=dropdowns!$A$92,IFERROR('Qredits maandlasten'!$J$3-K357,0),0)))))</f>
        <v/>
      </c>
      <c r="K357" s="130" t="str">
        <f>IF($B356="","",IF($B356+1&gt;'Qredits maandlasten'!$C$4,"",G357*I357*'Qredits maandlasten'!$C$8))</f>
        <v/>
      </c>
      <c r="L357" s="130" t="str">
        <f t="shared" si="27"/>
        <v/>
      </c>
      <c r="M357" s="130" t="str">
        <f t="shared" si="25"/>
        <v/>
      </c>
      <c r="N357" s="129"/>
      <c r="O357" s="131" t="str">
        <f>IF($B357="","",'Qredits maandlasten'!$C$8)</f>
        <v/>
      </c>
      <c r="P357" s="131" t="str">
        <f>IF($B357="","",'Qredits maandlasten'!$C$8*(POWER(1+'Qredits maandlasten'!$C$8,$B357-1+1)))</f>
        <v/>
      </c>
      <c r="Q357" s="131" t="str">
        <f t="shared" si="28"/>
        <v/>
      </c>
      <c r="R357" s="129"/>
      <c r="S357" s="130" t="str">
        <f t="shared" si="26"/>
        <v/>
      </c>
      <c r="T357" s="130" t="str">
        <f>IF(S357="","",J357/(POWER(1+'Qredits maandlasten'!$C$8,$B357-1+1)))</f>
        <v/>
      </c>
      <c r="U357" s="132" t="str">
        <f t="shared" si="29"/>
        <v/>
      </c>
      <c r="V357" s="130" t="str">
        <f>IF($B357="","",K357/(POWER(1+'Qredits maandlasten'!$C$8,$B357-1+1)))</f>
        <v/>
      </c>
      <c r="W357" s="129"/>
    </row>
    <row r="358" spans="1:23" s="134" customFormat="1" x14ac:dyDescent="0.2">
      <c r="A358" s="125"/>
      <c r="B358" s="126" t="str">
        <f>IF($B357="","",IF($B357+1&gt;'Qredits maandlasten'!$C$4,"",Schema!B357+1))</f>
        <v/>
      </c>
      <c r="C358" s="127" t="str">
        <f>IF($B357="","",IF($B357+1&gt;'Qredits maandlasten'!$C$4,"",EOMONTH(C357,0)+1))</f>
        <v/>
      </c>
      <c r="D358" s="125"/>
      <c r="E358" s="127" t="str">
        <f>IF($B357="","",IF($B357+1&gt;'Qredits maandlasten'!$C$4,"",F357+1))</f>
        <v/>
      </c>
      <c r="F358" s="127" t="str">
        <f>IF($B357="","",IF($B357+1&gt;'Qredits maandlasten'!$C$4,"",EOMONTH(E358,0)))</f>
        <v/>
      </c>
      <c r="G358" s="128" t="str">
        <f>IF($B357="","",IF($B357+1&gt;'Qredits maandlasten'!$C$4,"",(_xlfn.DAYS(F358,E358)+1)/DAY(F358)))</f>
        <v/>
      </c>
      <c r="H358" s="129"/>
      <c r="I358" s="130" t="str">
        <f>IF($B357="","",IF($B357+1&gt;'Qredits maandlasten'!$C$4,"",I357-J357))</f>
        <v/>
      </c>
      <c r="J358" s="130" t="str">
        <f>IF($B357="","",IF($B357+1&gt;'Qredits maandlasten'!$C$4,"",IF(B357&lt;'Qredits maandlasten'!$C$11-1,0,IF('Qredits maandlasten'!$C$10=dropdowns!$A$93,'Qredits maandlasten'!$J$3,IF('Qredits maandlasten'!$C$10=dropdowns!$A$92,IFERROR('Qredits maandlasten'!$J$3-K358,0),0)))))</f>
        <v/>
      </c>
      <c r="K358" s="130" t="str">
        <f>IF($B357="","",IF($B357+1&gt;'Qredits maandlasten'!$C$4,"",G358*I358*'Qredits maandlasten'!$C$8))</f>
        <v/>
      </c>
      <c r="L358" s="130" t="str">
        <f t="shared" si="27"/>
        <v/>
      </c>
      <c r="M358" s="130" t="str">
        <f t="shared" si="25"/>
        <v/>
      </c>
      <c r="N358" s="129"/>
      <c r="O358" s="131" t="str">
        <f>IF($B358="","",'Qredits maandlasten'!$C$8)</f>
        <v/>
      </c>
      <c r="P358" s="131" t="str">
        <f>IF($B358="","",'Qredits maandlasten'!$C$8*(POWER(1+'Qredits maandlasten'!$C$8,$B358-1+1)))</f>
        <v/>
      </c>
      <c r="Q358" s="131" t="str">
        <f t="shared" si="28"/>
        <v/>
      </c>
      <c r="R358" s="129"/>
      <c r="S358" s="130" t="str">
        <f t="shared" si="26"/>
        <v/>
      </c>
      <c r="T358" s="130" t="str">
        <f>IF(S358="","",J358/(POWER(1+'Qredits maandlasten'!$C$8,$B358-1+1)))</f>
        <v/>
      </c>
      <c r="U358" s="132" t="str">
        <f t="shared" si="29"/>
        <v/>
      </c>
      <c r="V358" s="130" t="str">
        <f>IF($B358="","",K358/(POWER(1+'Qredits maandlasten'!$C$8,$B358-1+1)))</f>
        <v/>
      </c>
      <c r="W358" s="129"/>
    </row>
    <row r="359" spans="1:23" s="134" customFormat="1" x14ac:dyDescent="0.2">
      <c r="A359" s="125"/>
      <c r="B359" s="126" t="str">
        <f>IF($B358="","",IF($B358+1&gt;'Qredits maandlasten'!$C$4,"",Schema!B358+1))</f>
        <v/>
      </c>
      <c r="C359" s="127" t="str">
        <f>IF($B358="","",IF($B358+1&gt;'Qredits maandlasten'!$C$4,"",EOMONTH(C358,0)+1))</f>
        <v/>
      </c>
      <c r="D359" s="125"/>
      <c r="E359" s="127" t="str">
        <f>IF($B358="","",IF($B358+1&gt;'Qredits maandlasten'!$C$4,"",F358+1))</f>
        <v/>
      </c>
      <c r="F359" s="127" t="str">
        <f>IF($B358="","",IF($B358+1&gt;'Qredits maandlasten'!$C$4,"",EOMONTH(E359,0)))</f>
        <v/>
      </c>
      <c r="G359" s="128" t="str">
        <f>IF($B358="","",IF($B358+1&gt;'Qredits maandlasten'!$C$4,"",(_xlfn.DAYS(F359,E359)+1)/DAY(F359)))</f>
        <v/>
      </c>
      <c r="H359" s="129"/>
      <c r="I359" s="130" t="str">
        <f>IF($B358="","",IF($B358+1&gt;'Qredits maandlasten'!$C$4,"",I358-J358))</f>
        <v/>
      </c>
      <c r="J359" s="130" t="str">
        <f>IF($B358="","",IF($B358+1&gt;'Qredits maandlasten'!$C$4,"",IF(B358&lt;'Qredits maandlasten'!$C$11-1,0,IF('Qredits maandlasten'!$C$10=dropdowns!$A$93,'Qredits maandlasten'!$J$3,IF('Qredits maandlasten'!$C$10=dropdowns!$A$92,IFERROR('Qredits maandlasten'!$J$3-K359,0),0)))))</f>
        <v/>
      </c>
      <c r="K359" s="130" t="str">
        <f>IF($B358="","",IF($B358+1&gt;'Qredits maandlasten'!$C$4,"",G359*I359*'Qredits maandlasten'!$C$8))</f>
        <v/>
      </c>
      <c r="L359" s="130" t="str">
        <f t="shared" si="27"/>
        <v/>
      </c>
      <c r="M359" s="130" t="str">
        <f t="shared" si="25"/>
        <v/>
      </c>
      <c r="N359" s="129"/>
      <c r="O359" s="131" t="str">
        <f>IF($B359="","",'Qredits maandlasten'!$C$8)</f>
        <v/>
      </c>
      <c r="P359" s="131" t="str">
        <f>IF($B359="","",'Qredits maandlasten'!$C$8*(POWER(1+'Qredits maandlasten'!$C$8,$B359-1+1)))</f>
        <v/>
      </c>
      <c r="Q359" s="131" t="str">
        <f t="shared" si="28"/>
        <v/>
      </c>
      <c r="R359" s="129"/>
      <c r="S359" s="130" t="str">
        <f t="shared" si="26"/>
        <v/>
      </c>
      <c r="T359" s="130" t="str">
        <f>IF(S359="","",J359/(POWER(1+'Qredits maandlasten'!$C$8,$B359-1+1)))</f>
        <v/>
      </c>
      <c r="U359" s="132" t="str">
        <f t="shared" si="29"/>
        <v/>
      </c>
      <c r="V359" s="130" t="str">
        <f>IF($B359="","",K359/(POWER(1+'Qredits maandlasten'!$C$8,$B359-1+1)))</f>
        <v/>
      </c>
      <c r="W359" s="129"/>
    </row>
    <row r="360" spans="1:23" s="134" customFormat="1" x14ac:dyDescent="0.2">
      <c r="A360" s="125"/>
      <c r="B360" s="126" t="str">
        <f>IF($B359="","",IF($B359+1&gt;'Qredits maandlasten'!$C$4,"",Schema!B359+1))</f>
        <v/>
      </c>
      <c r="C360" s="127" t="str">
        <f>IF($B359="","",IF($B359+1&gt;'Qredits maandlasten'!$C$4,"",EOMONTH(C359,0)+1))</f>
        <v/>
      </c>
      <c r="D360" s="125"/>
      <c r="E360" s="127" t="str">
        <f>IF($B359="","",IF($B359+1&gt;'Qredits maandlasten'!$C$4,"",F359+1))</f>
        <v/>
      </c>
      <c r="F360" s="127" t="str">
        <f>IF($B359="","",IF($B359+1&gt;'Qredits maandlasten'!$C$4,"",EOMONTH(E360,0)))</f>
        <v/>
      </c>
      <c r="G360" s="128" t="str">
        <f>IF($B359="","",IF($B359+1&gt;'Qredits maandlasten'!$C$4,"",(_xlfn.DAYS(F360,E360)+1)/DAY(F360)))</f>
        <v/>
      </c>
      <c r="H360" s="129"/>
      <c r="I360" s="130" t="str">
        <f>IF($B359="","",IF($B359+1&gt;'Qredits maandlasten'!$C$4,"",I359-J359))</f>
        <v/>
      </c>
      <c r="J360" s="130" t="str">
        <f>IF($B359="","",IF($B359+1&gt;'Qredits maandlasten'!$C$4,"",IF(B359&lt;'Qredits maandlasten'!$C$11-1,0,IF('Qredits maandlasten'!$C$10=dropdowns!$A$93,'Qredits maandlasten'!$J$3,IF('Qredits maandlasten'!$C$10=dropdowns!$A$92,IFERROR('Qredits maandlasten'!$J$3-K360,0),0)))))</f>
        <v/>
      </c>
      <c r="K360" s="130" t="str">
        <f>IF($B359="","",IF($B359+1&gt;'Qredits maandlasten'!$C$4,"",G360*I360*'Qredits maandlasten'!$C$8))</f>
        <v/>
      </c>
      <c r="L360" s="130" t="str">
        <f t="shared" si="27"/>
        <v/>
      </c>
      <c r="M360" s="130" t="str">
        <f t="shared" si="25"/>
        <v/>
      </c>
      <c r="N360" s="129"/>
      <c r="O360" s="131" t="str">
        <f>IF($B360="","",'Qredits maandlasten'!$C$8)</f>
        <v/>
      </c>
      <c r="P360" s="131" t="str">
        <f>IF($B360="","",'Qredits maandlasten'!$C$8*(POWER(1+'Qredits maandlasten'!$C$8,$B360-1+1)))</f>
        <v/>
      </c>
      <c r="Q360" s="131" t="str">
        <f t="shared" si="28"/>
        <v/>
      </c>
      <c r="R360" s="129"/>
      <c r="S360" s="130" t="str">
        <f t="shared" si="26"/>
        <v/>
      </c>
      <c r="T360" s="130" t="str">
        <f>IF(S360="","",J360/(POWER(1+'Qredits maandlasten'!$C$8,$B360-1+1)))</f>
        <v/>
      </c>
      <c r="U360" s="132" t="str">
        <f t="shared" si="29"/>
        <v/>
      </c>
      <c r="V360" s="130" t="str">
        <f>IF($B360="","",K360/(POWER(1+'Qredits maandlasten'!$C$8,$B360-1+1)))</f>
        <v/>
      </c>
      <c r="W360" s="129"/>
    </row>
    <row r="361" spans="1:23" s="134" customFormat="1" x14ac:dyDescent="0.2">
      <c r="A361" s="125"/>
      <c r="B361" s="126" t="str">
        <f>IF($B360="","",IF($B360+1&gt;'Qredits maandlasten'!$C$4,"",Schema!B360+1))</f>
        <v/>
      </c>
      <c r="C361" s="127" t="str">
        <f>IF($B360="","",IF($B360+1&gt;'Qredits maandlasten'!$C$4,"",EOMONTH(C360,0)+1))</f>
        <v/>
      </c>
      <c r="D361" s="125"/>
      <c r="E361" s="127" t="str">
        <f>IF($B360="","",IF($B360+1&gt;'Qredits maandlasten'!$C$4,"",F360+1))</f>
        <v/>
      </c>
      <c r="F361" s="127" t="str">
        <f>IF($B360="","",IF($B360+1&gt;'Qredits maandlasten'!$C$4,"",EOMONTH(E361,0)))</f>
        <v/>
      </c>
      <c r="G361" s="128" t="str">
        <f>IF($B360="","",IF($B360+1&gt;'Qredits maandlasten'!$C$4,"",(_xlfn.DAYS(F361,E361)+1)/DAY(F361)))</f>
        <v/>
      </c>
      <c r="H361" s="129"/>
      <c r="I361" s="130" t="str">
        <f>IF($B360="","",IF($B360+1&gt;'Qredits maandlasten'!$C$4,"",I360-J360))</f>
        <v/>
      </c>
      <c r="J361" s="130" t="str">
        <f>IF($B360="","",IF($B360+1&gt;'Qredits maandlasten'!$C$4,"",IF(B360&lt;'Qredits maandlasten'!$C$11-1,0,IF('Qredits maandlasten'!$C$10=dropdowns!$A$93,'Qredits maandlasten'!$J$3,IF('Qredits maandlasten'!$C$10=dropdowns!$A$92,IFERROR('Qredits maandlasten'!$J$3-K361,0),0)))))</f>
        <v/>
      </c>
      <c r="K361" s="130" t="str">
        <f>IF($B360="","",IF($B360+1&gt;'Qredits maandlasten'!$C$4,"",G361*I361*'Qredits maandlasten'!$C$8))</f>
        <v/>
      </c>
      <c r="L361" s="130" t="str">
        <f t="shared" si="27"/>
        <v/>
      </c>
      <c r="M361" s="130" t="str">
        <f t="shared" si="25"/>
        <v/>
      </c>
      <c r="N361" s="129"/>
      <c r="O361" s="131" t="str">
        <f>IF($B361="","",'Qredits maandlasten'!$C$8)</f>
        <v/>
      </c>
      <c r="P361" s="131" t="str">
        <f>IF($B361="","",'Qredits maandlasten'!$C$8*(POWER(1+'Qredits maandlasten'!$C$8,$B361-1+1)))</f>
        <v/>
      </c>
      <c r="Q361" s="131" t="str">
        <f t="shared" si="28"/>
        <v/>
      </c>
      <c r="R361" s="129"/>
      <c r="S361" s="130" t="str">
        <f t="shared" si="26"/>
        <v/>
      </c>
      <c r="T361" s="130" t="str">
        <f>IF(S361="","",J361/(POWER(1+'Qredits maandlasten'!$C$8,$B361-1+1)))</f>
        <v/>
      </c>
      <c r="U361" s="132" t="str">
        <f t="shared" si="29"/>
        <v/>
      </c>
      <c r="V361" s="130" t="str">
        <f>IF($B361="","",K361/(POWER(1+'Qredits maandlasten'!$C$8,$B361-1+1)))</f>
        <v/>
      </c>
      <c r="W361" s="129"/>
    </row>
    <row r="362" spans="1:23" s="134" customFormat="1" x14ac:dyDescent="0.2">
      <c r="A362" s="125"/>
      <c r="B362" s="126" t="str">
        <f>IF($B361="","",IF($B361+1&gt;'Qredits maandlasten'!$C$4,"",Schema!B361+1))</f>
        <v/>
      </c>
      <c r="C362" s="127" t="str">
        <f>IF($B361="","",IF($B361+1&gt;'Qredits maandlasten'!$C$4,"",EOMONTH(C361,0)+1))</f>
        <v/>
      </c>
      <c r="D362" s="125"/>
      <c r="E362" s="127" t="str">
        <f>IF($B361="","",IF($B361+1&gt;'Qredits maandlasten'!$C$4,"",F361+1))</f>
        <v/>
      </c>
      <c r="F362" s="127" t="str">
        <f>IF($B361="","",IF($B361+1&gt;'Qredits maandlasten'!$C$4,"",EOMONTH(E362,0)))</f>
        <v/>
      </c>
      <c r="G362" s="128" t="str">
        <f>IF($B361="","",IF($B361+1&gt;'Qredits maandlasten'!$C$4,"",(_xlfn.DAYS(F362,E362)+1)/DAY(F362)))</f>
        <v/>
      </c>
      <c r="H362" s="129"/>
      <c r="I362" s="130" t="str">
        <f>IF($B361="","",IF($B361+1&gt;'Qredits maandlasten'!$C$4,"",I361-J361))</f>
        <v/>
      </c>
      <c r="J362" s="130" t="str">
        <f>IF($B361="","",IF($B361+1&gt;'Qredits maandlasten'!$C$4,"",IF(B361&lt;'Qredits maandlasten'!$C$11-1,0,IF('Qredits maandlasten'!$C$10=dropdowns!$A$93,'Qredits maandlasten'!$J$3,IF('Qredits maandlasten'!$C$10=dropdowns!$A$92,IFERROR('Qredits maandlasten'!$J$3-K362,0),0)))))</f>
        <v/>
      </c>
      <c r="K362" s="130" t="str">
        <f>IF($B361="","",IF($B361+1&gt;'Qredits maandlasten'!$C$4,"",G362*I362*'Qredits maandlasten'!$C$8))</f>
        <v/>
      </c>
      <c r="L362" s="130" t="str">
        <f t="shared" si="27"/>
        <v/>
      </c>
      <c r="M362" s="130" t="str">
        <f t="shared" si="25"/>
        <v/>
      </c>
      <c r="N362" s="129"/>
      <c r="O362" s="131" t="str">
        <f>IF($B362="","",'Qredits maandlasten'!$C$8)</f>
        <v/>
      </c>
      <c r="P362" s="131" t="str">
        <f>IF($B362="","",'Qredits maandlasten'!$C$8*(POWER(1+'Qredits maandlasten'!$C$8,$B362-1+1)))</f>
        <v/>
      </c>
      <c r="Q362" s="131" t="str">
        <f t="shared" si="28"/>
        <v/>
      </c>
      <c r="R362" s="129"/>
      <c r="S362" s="130" t="str">
        <f t="shared" si="26"/>
        <v/>
      </c>
      <c r="T362" s="130" t="str">
        <f>IF(S362="","",J362/(POWER(1+'Qredits maandlasten'!$C$8,$B362-1+1)))</f>
        <v/>
      </c>
      <c r="U362" s="132" t="str">
        <f t="shared" si="29"/>
        <v/>
      </c>
      <c r="V362" s="130" t="str">
        <f>IF($B362="","",K362/(POWER(1+'Qredits maandlasten'!$C$8,$B362-1+1)))</f>
        <v/>
      </c>
      <c r="W362" s="129"/>
    </row>
    <row r="363" spans="1:23" s="134" customFormat="1" x14ac:dyDescent="0.2">
      <c r="A363" s="125"/>
      <c r="B363" s="126" t="str">
        <f>IF($B362="","",IF($B362+1&gt;'Qredits maandlasten'!$C$4,"",Schema!B362+1))</f>
        <v/>
      </c>
      <c r="C363" s="127" t="str">
        <f>IF($B362="","",IF($B362+1&gt;'Qredits maandlasten'!$C$4,"",EOMONTH(C362,0)+1))</f>
        <v/>
      </c>
      <c r="D363" s="125"/>
      <c r="E363" s="127" t="str">
        <f>IF($B362="","",IF($B362+1&gt;'Qredits maandlasten'!$C$4,"",F362+1))</f>
        <v/>
      </c>
      <c r="F363" s="127" t="str">
        <f>IF($B362="","",IF($B362+1&gt;'Qredits maandlasten'!$C$4,"",EOMONTH(E363,0)))</f>
        <v/>
      </c>
      <c r="G363" s="128" t="str">
        <f>IF($B362="","",IF($B362+1&gt;'Qredits maandlasten'!$C$4,"",(_xlfn.DAYS(F363,E363)+1)/DAY(F363)))</f>
        <v/>
      </c>
      <c r="H363" s="129"/>
      <c r="I363" s="130" t="str">
        <f>IF($B362="","",IF($B362+1&gt;'Qredits maandlasten'!$C$4,"",I362-J362))</f>
        <v/>
      </c>
      <c r="J363" s="130" t="str">
        <f>IF($B362="","",IF($B362+1&gt;'Qredits maandlasten'!$C$4,"",IF(B362&lt;'Qredits maandlasten'!$C$11-1,0,IF('Qredits maandlasten'!$C$10=dropdowns!$A$93,'Qredits maandlasten'!$J$3,IF('Qredits maandlasten'!$C$10=dropdowns!$A$92,IFERROR('Qredits maandlasten'!$J$3-K363,0),0)))))</f>
        <v/>
      </c>
      <c r="K363" s="130" t="str">
        <f>IF($B362="","",IF($B362+1&gt;'Qredits maandlasten'!$C$4,"",G363*I363*'Qredits maandlasten'!$C$8))</f>
        <v/>
      </c>
      <c r="L363" s="130" t="str">
        <f t="shared" si="27"/>
        <v/>
      </c>
      <c r="M363" s="130" t="str">
        <f t="shared" si="25"/>
        <v/>
      </c>
      <c r="N363" s="129"/>
      <c r="O363" s="131" t="str">
        <f>IF($B363="","",'Qredits maandlasten'!$C$8)</f>
        <v/>
      </c>
      <c r="P363" s="131" t="str">
        <f>IF($B363="","",'Qredits maandlasten'!$C$8*(POWER(1+'Qredits maandlasten'!$C$8,$B363-1+1)))</f>
        <v/>
      </c>
      <c r="Q363" s="131" t="str">
        <f t="shared" si="28"/>
        <v/>
      </c>
      <c r="R363" s="129"/>
      <c r="S363" s="130" t="str">
        <f t="shared" si="26"/>
        <v/>
      </c>
      <c r="T363" s="130" t="str">
        <f>IF(S363="","",J363/(POWER(1+'Qredits maandlasten'!$C$8,$B363-1+1)))</f>
        <v/>
      </c>
      <c r="U363" s="132" t="str">
        <f t="shared" si="29"/>
        <v/>
      </c>
      <c r="V363" s="130" t="str">
        <f>IF($B363="","",K363/(POWER(1+'Qredits maandlasten'!$C$8,$B363-1+1)))</f>
        <v/>
      </c>
      <c r="W363" s="129"/>
    </row>
    <row r="364" spans="1:23" s="134" customFormat="1" x14ac:dyDescent="0.2">
      <c r="A364" s="125"/>
      <c r="B364" s="126" t="str">
        <f>IF($B363="","",IF($B363+1&gt;'Qredits maandlasten'!$C$4,"",Schema!B363+1))</f>
        <v/>
      </c>
      <c r="C364" s="127" t="str">
        <f>IF($B363="","",IF($B363+1&gt;'Qredits maandlasten'!$C$4,"",EOMONTH(C363,0)+1))</f>
        <v/>
      </c>
      <c r="D364" s="125"/>
      <c r="E364" s="127" t="str">
        <f>IF($B363="","",IF($B363+1&gt;'Qredits maandlasten'!$C$4,"",F363+1))</f>
        <v/>
      </c>
      <c r="F364" s="127" t="str">
        <f>IF($B363="","",IF($B363+1&gt;'Qredits maandlasten'!$C$4,"",EOMONTH(E364,0)))</f>
        <v/>
      </c>
      <c r="G364" s="128" t="str">
        <f>IF($B363="","",IF($B363+1&gt;'Qredits maandlasten'!$C$4,"",(_xlfn.DAYS(F364,E364)+1)/DAY(F364)))</f>
        <v/>
      </c>
      <c r="H364" s="129"/>
      <c r="I364" s="130" t="str">
        <f>IF($B363="","",IF($B363+1&gt;'Qredits maandlasten'!$C$4,"",I363-J363))</f>
        <v/>
      </c>
      <c r="J364" s="130" t="str">
        <f>IF($B363="","",IF($B363+1&gt;'Qredits maandlasten'!$C$4,"",IF(B363&lt;'Qredits maandlasten'!$C$11-1,0,IF('Qredits maandlasten'!$C$10=dropdowns!$A$93,'Qredits maandlasten'!$J$3,IF('Qredits maandlasten'!$C$10=dropdowns!$A$92,IFERROR('Qredits maandlasten'!$J$3-K364,0),0)))))</f>
        <v/>
      </c>
      <c r="K364" s="130" t="str">
        <f>IF($B363="","",IF($B363+1&gt;'Qredits maandlasten'!$C$4,"",G364*I364*'Qredits maandlasten'!$C$8))</f>
        <v/>
      </c>
      <c r="L364" s="130" t="str">
        <f t="shared" si="27"/>
        <v/>
      </c>
      <c r="M364" s="130" t="str">
        <f t="shared" si="25"/>
        <v/>
      </c>
      <c r="N364" s="129"/>
      <c r="O364" s="131" t="str">
        <f>IF($B364="","",'Qredits maandlasten'!$C$8)</f>
        <v/>
      </c>
      <c r="P364" s="131" t="str">
        <f>IF($B364="","",'Qredits maandlasten'!$C$8*(POWER(1+'Qredits maandlasten'!$C$8,$B364-1+1)))</f>
        <v/>
      </c>
      <c r="Q364" s="131" t="str">
        <f t="shared" si="28"/>
        <v/>
      </c>
      <c r="R364" s="129"/>
      <c r="S364" s="130" t="str">
        <f t="shared" si="26"/>
        <v/>
      </c>
      <c r="T364" s="130" t="str">
        <f>IF(S364="","",J364/(POWER(1+'Qredits maandlasten'!$C$8,$B364-1+1)))</f>
        <v/>
      </c>
      <c r="U364" s="132" t="str">
        <f t="shared" si="29"/>
        <v/>
      </c>
      <c r="V364" s="130" t="str">
        <f>IF($B364="","",K364/(POWER(1+'Qredits maandlasten'!$C$8,$B364-1+1)))</f>
        <v/>
      </c>
      <c r="W364" s="129"/>
    </row>
    <row r="365" spans="1:23" s="134" customFormat="1" x14ac:dyDescent="0.2">
      <c r="A365" s="125"/>
      <c r="B365" s="126" t="str">
        <f>IF($B364="","",IF($B364+1&gt;'Qredits maandlasten'!$C$4,"",Schema!B364+1))</f>
        <v/>
      </c>
      <c r="C365" s="127" t="str">
        <f>IF($B364="","",IF($B364+1&gt;'Qredits maandlasten'!$C$4,"",EOMONTH(C364,0)+1))</f>
        <v/>
      </c>
      <c r="D365" s="125"/>
      <c r="E365" s="127" t="str">
        <f>IF($B364="","",IF($B364+1&gt;'Qredits maandlasten'!$C$4,"",F364+1))</f>
        <v/>
      </c>
      <c r="F365" s="127" t="str">
        <f>IF($B364="","",IF($B364+1&gt;'Qredits maandlasten'!$C$4,"",EOMONTH(E365,0)))</f>
        <v/>
      </c>
      <c r="G365" s="128" t="str">
        <f>IF($B364="","",IF($B364+1&gt;'Qredits maandlasten'!$C$4,"",(_xlfn.DAYS(F365,E365)+1)/DAY(F365)))</f>
        <v/>
      </c>
      <c r="H365" s="129"/>
      <c r="I365" s="130" t="str">
        <f>IF($B364="","",IF($B364+1&gt;'Qredits maandlasten'!$C$4,"",I364-J364))</f>
        <v/>
      </c>
      <c r="J365" s="130" t="str">
        <f>IF($B364="","",IF($B364+1&gt;'Qredits maandlasten'!$C$4,"",IF(B364&lt;'Qredits maandlasten'!$C$11-1,0,IF('Qredits maandlasten'!$C$10=dropdowns!$A$93,'Qredits maandlasten'!$J$3,IF('Qredits maandlasten'!$C$10=dropdowns!$A$92,IFERROR('Qredits maandlasten'!$J$3-K365,0),0)))))</f>
        <v/>
      </c>
      <c r="K365" s="130" t="str">
        <f>IF($B364="","",IF($B364+1&gt;'Qredits maandlasten'!$C$4,"",G365*I365*'Qredits maandlasten'!$C$8))</f>
        <v/>
      </c>
      <c r="L365" s="130" t="str">
        <f t="shared" si="27"/>
        <v/>
      </c>
      <c r="M365" s="130" t="str">
        <f t="shared" si="25"/>
        <v/>
      </c>
      <c r="N365" s="129"/>
      <c r="O365" s="131" t="str">
        <f>IF($B365="","",'Qredits maandlasten'!$C$8)</f>
        <v/>
      </c>
      <c r="P365" s="131" t="str">
        <f>IF($B365="","",'Qredits maandlasten'!$C$8*(POWER(1+'Qredits maandlasten'!$C$8,$B365-1+1)))</f>
        <v/>
      </c>
      <c r="Q365" s="131" t="str">
        <f t="shared" si="28"/>
        <v/>
      </c>
      <c r="R365" s="129"/>
      <c r="S365" s="130" t="str">
        <f t="shared" si="26"/>
        <v/>
      </c>
      <c r="T365" s="130" t="str">
        <f>IF(S365="","",J365/(POWER(1+'Qredits maandlasten'!$C$8,$B365-1+1)))</f>
        <v/>
      </c>
      <c r="U365" s="132" t="str">
        <f t="shared" si="29"/>
        <v/>
      </c>
      <c r="V365" s="130" t="str">
        <f>IF($B365="","",K365/(POWER(1+'Qredits maandlasten'!$C$8,$B365-1+1)))</f>
        <v/>
      </c>
      <c r="W365" s="129"/>
    </row>
    <row r="366" spans="1:23" s="134" customFormat="1" x14ac:dyDescent="0.2">
      <c r="A366" s="125"/>
      <c r="B366" s="126" t="str">
        <f>IF($B365="","",IF($B365+1&gt;'Qredits maandlasten'!$C$4,"",Schema!B365+1))</f>
        <v/>
      </c>
      <c r="C366" s="127" t="str">
        <f>IF($B365="","",IF($B365+1&gt;'Qredits maandlasten'!$C$4,"",EOMONTH(C365,0)+1))</f>
        <v/>
      </c>
      <c r="D366" s="125"/>
      <c r="E366" s="127" t="str">
        <f>IF($B365="","",IF($B365+1&gt;'Qredits maandlasten'!$C$4,"",F365+1))</f>
        <v/>
      </c>
      <c r="F366" s="127" t="str">
        <f>IF($B365="","",IF($B365+1&gt;'Qredits maandlasten'!$C$4,"",EOMONTH(E366,0)))</f>
        <v/>
      </c>
      <c r="G366" s="128" t="str">
        <f>IF($B365="","",IF($B365+1&gt;'Qredits maandlasten'!$C$4,"",(_xlfn.DAYS(F366,E366)+1)/DAY(F366)))</f>
        <v/>
      </c>
      <c r="H366" s="129"/>
      <c r="I366" s="130" t="str">
        <f>IF($B365="","",IF($B365+1&gt;'Qredits maandlasten'!$C$4,"",I365-J365))</f>
        <v/>
      </c>
      <c r="J366" s="130" t="str">
        <f>IF($B365="","",IF($B365+1&gt;'Qredits maandlasten'!$C$4,"",IF(B365&lt;'Qredits maandlasten'!$C$11-1,0,IF('Qredits maandlasten'!$C$10=dropdowns!$A$93,'Qredits maandlasten'!$J$3,IF('Qredits maandlasten'!$C$10=dropdowns!$A$92,IFERROR('Qredits maandlasten'!$J$3-K366,0),0)))))</f>
        <v/>
      </c>
      <c r="K366" s="130" t="str">
        <f>IF($B365="","",IF($B365+1&gt;'Qredits maandlasten'!$C$4,"",G366*I366*'Qredits maandlasten'!$C$8))</f>
        <v/>
      </c>
      <c r="L366" s="130" t="str">
        <f t="shared" si="27"/>
        <v/>
      </c>
      <c r="M366" s="130" t="str">
        <f t="shared" si="25"/>
        <v/>
      </c>
      <c r="N366" s="129"/>
      <c r="O366" s="131" t="str">
        <f>IF($B366="","",'Qredits maandlasten'!$C$8)</f>
        <v/>
      </c>
      <c r="P366" s="131" t="str">
        <f>IF($B366="","",'Qredits maandlasten'!$C$8*(POWER(1+'Qredits maandlasten'!$C$8,$B366-1+1)))</f>
        <v/>
      </c>
      <c r="Q366" s="131" t="str">
        <f t="shared" si="28"/>
        <v/>
      </c>
      <c r="R366" s="129"/>
      <c r="S366" s="130" t="str">
        <f t="shared" si="26"/>
        <v/>
      </c>
      <c r="T366" s="130" t="str">
        <f>IF(S366="","",J366/(POWER(1+'Qredits maandlasten'!$C$8,$B366-1+1)))</f>
        <v/>
      </c>
      <c r="U366" s="132" t="str">
        <f t="shared" si="29"/>
        <v/>
      </c>
      <c r="V366" s="130" t="str">
        <f>IF($B366="","",K366/(POWER(1+'Qredits maandlasten'!$C$8,$B366-1+1)))</f>
        <v/>
      </c>
      <c r="W366" s="129"/>
    </row>
    <row r="367" spans="1:23" s="134" customFormat="1" x14ac:dyDescent="0.2">
      <c r="A367" s="125"/>
      <c r="B367" s="126" t="str">
        <f>IF($B366="","",IF($B366+1&gt;'Qredits maandlasten'!$C$4,"",Schema!B366+1))</f>
        <v/>
      </c>
      <c r="C367" s="127" t="str">
        <f>IF($B366="","",IF($B366+1&gt;'Qredits maandlasten'!$C$4,"",EOMONTH(C366,0)+1))</f>
        <v/>
      </c>
      <c r="D367" s="125"/>
      <c r="E367" s="127" t="str">
        <f>IF($B366="","",IF($B366+1&gt;'Qredits maandlasten'!$C$4,"",F366+1))</f>
        <v/>
      </c>
      <c r="F367" s="127" t="str">
        <f>IF($B366="","",IF($B366+1&gt;'Qredits maandlasten'!$C$4,"",EOMONTH(E367,0)))</f>
        <v/>
      </c>
      <c r="G367" s="128" t="str">
        <f>IF($B366="","",IF($B366+1&gt;'Qredits maandlasten'!$C$4,"",(_xlfn.DAYS(F367,E367)+1)/DAY(F367)))</f>
        <v/>
      </c>
      <c r="H367" s="129"/>
      <c r="I367" s="130" t="str">
        <f>IF($B366="","",IF($B366+1&gt;'Qredits maandlasten'!$C$4,"",I366-J366))</f>
        <v/>
      </c>
      <c r="J367" s="130" t="str">
        <f>IF($B366="","",IF($B366+1&gt;'Qredits maandlasten'!$C$4,"",IF(B366&lt;'Qredits maandlasten'!$C$11-1,0,IF('Qredits maandlasten'!$C$10=dropdowns!$A$93,'Qredits maandlasten'!$J$3,IF('Qredits maandlasten'!$C$10=dropdowns!$A$92,IFERROR('Qredits maandlasten'!$J$3-K367,0),0)))))</f>
        <v/>
      </c>
      <c r="K367" s="130" t="str">
        <f>IF($B366="","",IF($B366+1&gt;'Qredits maandlasten'!$C$4,"",G367*I367*'Qredits maandlasten'!$C$8))</f>
        <v/>
      </c>
      <c r="L367" s="130" t="str">
        <f t="shared" si="27"/>
        <v/>
      </c>
      <c r="M367" s="130" t="str">
        <f t="shared" si="25"/>
        <v/>
      </c>
      <c r="N367" s="129"/>
      <c r="O367" s="131" t="str">
        <f>IF($B367="","",'Qredits maandlasten'!$C$8)</f>
        <v/>
      </c>
      <c r="P367" s="131" t="str">
        <f>IF($B367="","",'Qredits maandlasten'!$C$8*(POWER(1+'Qredits maandlasten'!$C$8,$B367-1+1)))</f>
        <v/>
      </c>
      <c r="Q367" s="131" t="str">
        <f t="shared" si="28"/>
        <v/>
      </c>
      <c r="R367" s="129"/>
      <c r="S367" s="130" t="str">
        <f t="shared" si="26"/>
        <v/>
      </c>
      <c r="T367" s="130" t="str">
        <f>IF(S367="","",J367/(POWER(1+'Qredits maandlasten'!$C$8,$B367-1+1)))</f>
        <v/>
      </c>
      <c r="U367" s="132" t="str">
        <f t="shared" si="29"/>
        <v/>
      </c>
      <c r="V367" s="130" t="str">
        <f>IF($B367="","",K367/(POWER(1+'Qredits maandlasten'!$C$8,$B367-1+1)))</f>
        <v/>
      </c>
      <c r="W367" s="129"/>
    </row>
    <row r="368" spans="1:23" s="134" customFormat="1" x14ac:dyDescent="0.2">
      <c r="A368" s="125"/>
      <c r="B368" s="126" t="str">
        <f>IF($B367="","",IF($B367+1&gt;'Qredits maandlasten'!$C$4,"",Schema!B367+1))</f>
        <v/>
      </c>
      <c r="C368" s="127" t="str">
        <f>IF($B367="","",IF($B367+1&gt;'Qredits maandlasten'!$C$4,"",EOMONTH(C367,0)+1))</f>
        <v/>
      </c>
      <c r="D368" s="125"/>
      <c r="E368" s="127" t="str">
        <f>IF($B367="","",IF($B367+1&gt;'Qredits maandlasten'!$C$4,"",F367+1))</f>
        <v/>
      </c>
      <c r="F368" s="127" t="str">
        <f>IF($B367="","",IF($B367+1&gt;'Qredits maandlasten'!$C$4,"",EOMONTH(E368,0)))</f>
        <v/>
      </c>
      <c r="G368" s="128" t="str">
        <f>IF($B367="","",IF($B367+1&gt;'Qredits maandlasten'!$C$4,"",(_xlfn.DAYS(F368,E368)+1)/DAY(F368)))</f>
        <v/>
      </c>
      <c r="H368" s="129"/>
      <c r="I368" s="130" t="str">
        <f>IF($B367="","",IF($B367+1&gt;'Qredits maandlasten'!$C$4,"",I367-J367))</f>
        <v/>
      </c>
      <c r="J368" s="130" t="str">
        <f>IF($B367="","",IF($B367+1&gt;'Qredits maandlasten'!$C$4,"",IF(B367&lt;'Qredits maandlasten'!$C$11-1,0,IF('Qredits maandlasten'!$C$10=dropdowns!$A$93,'Qredits maandlasten'!$J$3,IF('Qredits maandlasten'!$C$10=dropdowns!$A$92,IFERROR('Qredits maandlasten'!$J$3-K368,0),0)))))</f>
        <v/>
      </c>
      <c r="K368" s="130" t="str">
        <f>IF($B367="","",IF($B367+1&gt;'Qredits maandlasten'!$C$4,"",G368*I368*'Qredits maandlasten'!$C$8))</f>
        <v/>
      </c>
      <c r="L368" s="130" t="str">
        <f t="shared" si="27"/>
        <v/>
      </c>
      <c r="M368" s="130" t="str">
        <f t="shared" si="25"/>
        <v/>
      </c>
      <c r="N368" s="129"/>
      <c r="O368" s="131" t="str">
        <f>IF($B368="","",'Qredits maandlasten'!$C$8)</f>
        <v/>
      </c>
      <c r="P368" s="131" t="str">
        <f>IF($B368="","",'Qredits maandlasten'!$C$8*(POWER(1+'Qredits maandlasten'!$C$8,$B368-1+1)))</f>
        <v/>
      </c>
      <c r="Q368" s="131" t="str">
        <f t="shared" si="28"/>
        <v/>
      </c>
      <c r="R368" s="129"/>
      <c r="S368" s="130" t="str">
        <f t="shared" si="26"/>
        <v/>
      </c>
      <c r="T368" s="130" t="str">
        <f>IF(S368="","",J368/(POWER(1+'Qredits maandlasten'!$C$8,$B368-1+1)))</f>
        <v/>
      </c>
      <c r="U368" s="132" t="str">
        <f t="shared" si="29"/>
        <v/>
      </c>
      <c r="V368" s="130" t="str">
        <f>IF($B368="","",K368/(POWER(1+'Qredits maandlasten'!$C$8,$B368-1+1)))</f>
        <v/>
      </c>
      <c r="W368" s="129"/>
    </row>
    <row r="369" spans="1:23" s="134" customFormat="1" x14ac:dyDescent="0.2">
      <c r="A369" s="125"/>
      <c r="B369" s="126" t="str">
        <f>IF($B368="","",IF($B368+1&gt;'Qredits maandlasten'!$C$4,"",Schema!B368+1))</f>
        <v/>
      </c>
      <c r="C369" s="127" t="str">
        <f>IF($B368="","",IF($B368+1&gt;'Qredits maandlasten'!$C$4,"",EOMONTH(C368,0)+1))</f>
        <v/>
      </c>
      <c r="D369" s="125"/>
      <c r="E369" s="127" t="str">
        <f>IF($B368="","",IF($B368+1&gt;'Qredits maandlasten'!$C$4,"",F368+1))</f>
        <v/>
      </c>
      <c r="F369" s="127" t="str">
        <f>IF($B368="","",IF($B368+1&gt;'Qredits maandlasten'!$C$4,"",EOMONTH(E369,0)))</f>
        <v/>
      </c>
      <c r="G369" s="128" t="str">
        <f>IF($B368="","",IF($B368+1&gt;'Qredits maandlasten'!$C$4,"",(_xlfn.DAYS(F369,E369)+1)/DAY(F369)))</f>
        <v/>
      </c>
      <c r="H369" s="129"/>
      <c r="I369" s="130" t="str">
        <f>IF($B368="","",IF($B368+1&gt;'Qredits maandlasten'!$C$4,"",I368-J368))</f>
        <v/>
      </c>
      <c r="J369" s="130" t="str">
        <f>IF($B368="","",IF($B368+1&gt;'Qredits maandlasten'!$C$4,"",IF(B368&lt;'Qredits maandlasten'!$C$11-1,0,IF('Qredits maandlasten'!$C$10=dropdowns!$A$93,'Qredits maandlasten'!$J$3,IF('Qredits maandlasten'!$C$10=dropdowns!$A$92,IFERROR('Qredits maandlasten'!$J$3-K369,0),0)))))</f>
        <v/>
      </c>
      <c r="K369" s="130" t="str">
        <f>IF($B368="","",IF($B368+1&gt;'Qredits maandlasten'!$C$4,"",G369*I369*'Qredits maandlasten'!$C$8))</f>
        <v/>
      </c>
      <c r="L369" s="130" t="str">
        <f t="shared" si="27"/>
        <v/>
      </c>
      <c r="M369" s="130" t="str">
        <f t="shared" si="25"/>
        <v/>
      </c>
      <c r="N369" s="129"/>
      <c r="O369" s="131" t="str">
        <f>IF($B369="","",'Qredits maandlasten'!$C$8)</f>
        <v/>
      </c>
      <c r="P369" s="131" t="str">
        <f>IF($B369="","",'Qredits maandlasten'!$C$8*(POWER(1+'Qredits maandlasten'!$C$8,$B369-1+1)))</f>
        <v/>
      </c>
      <c r="Q369" s="131" t="str">
        <f t="shared" si="28"/>
        <v/>
      </c>
      <c r="R369" s="129"/>
      <c r="S369" s="130" t="str">
        <f t="shared" si="26"/>
        <v/>
      </c>
      <c r="T369" s="130" t="str">
        <f>IF(S369="","",J369/(POWER(1+'Qredits maandlasten'!$C$8,$B369-1+1)))</f>
        <v/>
      </c>
      <c r="U369" s="132" t="str">
        <f t="shared" si="29"/>
        <v/>
      </c>
      <c r="V369" s="130" t="str">
        <f>IF($B369="","",K369/(POWER(1+'Qredits maandlasten'!$C$8,$B369-1+1)))</f>
        <v/>
      </c>
      <c r="W369" s="129"/>
    </row>
  </sheetData>
  <sheetProtection algorithmName="SHA-512" hashValue="GZuCL37THX5Doiqs2sLXq6PZnqf9M+y20nIiglYGjz9fPCADUY+BQhlhMu56P4ktvOPtz8gOziAN+9gFGgUvZQ==" saltValue="CJ3b0mLeJlvAN0RLQUVlvA==" spinCount="100000" sheet="1" objects="1" scenarios="1"/>
  <mergeCells count="7">
    <mergeCell ref="A1:W2"/>
    <mergeCell ref="A3:W4"/>
    <mergeCell ref="B6:C6"/>
    <mergeCell ref="E6:G6"/>
    <mergeCell ref="I6:M6"/>
    <mergeCell ref="O6:Q6"/>
    <mergeCell ref="S6:V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dimension ref="A1:U94"/>
  <sheetViews>
    <sheetView topLeftCell="A17" workbookViewId="0">
      <selection activeCell="C40" sqref="C40"/>
    </sheetView>
  </sheetViews>
  <sheetFormatPr defaultRowHeight="12.75" x14ac:dyDescent="0.2"/>
  <cols>
    <col min="1" max="1" width="19" style="112" bestFit="1" customWidth="1"/>
    <col min="2" max="2" width="20.7109375" style="112" bestFit="1" customWidth="1"/>
    <col min="3" max="3" width="22.140625" style="112" bestFit="1" customWidth="1"/>
    <col min="4" max="4" width="23.85546875" style="112" bestFit="1" customWidth="1"/>
    <col min="5" max="5" width="23" style="112" bestFit="1" customWidth="1"/>
    <col min="6" max="6" width="15.42578125" style="112" customWidth="1"/>
    <col min="7" max="21" width="9.140625" style="112"/>
    <col min="22" max="22" width="19" style="112" customWidth="1"/>
    <col min="23" max="23" width="9.140625" style="112"/>
    <col min="24" max="24" width="20.85546875" style="112" customWidth="1"/>
    <col min="25" max="25" width="9.140625" style="112"/>
    <col min="26" max="26" width="18.85546875" style="112" customWidth="1"/>
    <col min="27" max="27" width="9.140625" style="112"/>
    <col min="28" max="28" width="17.85546875" style="112" customWidth="1"/>
    <col min="29" max="29" width="10.5703125" style="112" bestFit="1" customWidth="1"/>
    <col min="30" max="30" width="16.42578125" style="112" bestFit="1" customWidth="1"/>
    <col min="31" max="16384" width="9.140625" style="112"/>
  </cols>
  <sheetData>
    <row r="1" spans="1:21" ht="26.25" x14ac:dyDescent="0.2">
      <c r="A1" s="57" t="s">
        <v>1008</v>
      </c>
      <c r="B1" s="57" t="s">
        <v>1</v>
      </c>
      <c r="C1" s="57" t="s">
        <v>58</v>
      </c>
      <c r="D1" s="57" t="s">
        <v>59</v>
      </c>
      <c r="E1" s="57" t="s">
        <v>60</v>
      </c>
    </row>
    <row r="2" spans="1:21" x14ac:dyDescent="0.2">
      <c r="B2" s="151"/>
      <c r="C2" s="151"/>
      <c r="D2" s="151"/>
      <c r="E2" s="151"/>
    </row>
    <row r="3" spans="1:21" ht="15" x14ac:dyDescent="0.25">
      <c r="A3" s="150" t="s">
        <v>981</v>
      </c>
    </row>
    <row r="4" spans="1:21" x14ac:dyDescent="0.2">
      <c r="A4" s="152" t="str">
        <f>HLOOKUP(Intro!$B$7,$B:$E,ROW(A4),FALSE)</f>
        <v>Eenmanszaak</v>
      </c>
      <c r="B4" s="152" t="s">
        <v>28</v>
      </c>
      <c r="C4" s="152" t="s">
        <v>28</v>
      </c>
      <c r="D4" s="152" t="s">
        <v>28</v>
      </c>
      <c r="E4" s="152" t="s">
        <v>28</v>
      </c>
      <c r="F4" s="152">
        <f>IF(VRAGENLIJST!F21="",0,IFERROR(_xlfn.XLOOKUP(VRAGENLIJST!F21,$B$14:$B$21,dropdowns!F14:F21),_xlfn.XLOOKUP(VRAGENLIJST!F21,$C$14:$C$21,dropdowns!F14:F21)))</f>
        <v>0</v>
      </c>
      <c r="G4" s="152"/>
      <c r="H4" s="152"/>
      <c r="I4" s="152"/>
      <c r="J4" s="152"/>
      <c r="K4" s="152"/>
    </row>
    <row r="5" spans="1:21" x14ac:dyDescent="0.2">
      <c r="A5" s="152" t="str">
        <f>HLOOKUP(Intro!$B$7,$B:$E,ROW(A5),FALSE)</f>
        <v>V.O.F.</v>
      </c>
      <c r="B5" s="152" t="s">
        <v>982</v>
      </c>
      <c r="C5" s="152" t="s">
        <v>982</v>
      </c>
      <c r="D5" s="152" t="s">
        <v>982</v>
      </c>
      <c r="E5" s="152" t="s">
        <v>982</v>
      </c>
      <c r="F5" s="152"/>
      <c r="G5" s="152"/>
      <c r="H5" s="152"/>
      <c r="I5" s="152"/>
      <c r="J5" s="152"/>
      <c r="K5" s="152"/>
    </row>
    <row r="6" spans="1:21" x14ac:dyDescent="0.2">
      <c r="A6" s="152" t="str">
        <f>HLOOKUP(Intro!$B$7,$B:$E,ROW(A6),FALSE)</f>
        <v>B.V.</v>
      </c>
      <c r="B6" s="152" t="s">
        <v>983</v>
      </c>
      <c r="C6" s="152" t="s">
        <v>983</v>
      </c>
      <c r="D6" s="152" t="s">
        <v>983</v>
      </c>
      <c r="E6" s="152" t="s">
        <v>983</v>
      </c>
      <c r="F6" s="152"/>
      <c r="G6" s="152"/>
      <c r="H6" s="152"/>
      <c r="I6" s="152"/>
      <c r="J6" s="152"/>
      <c r="K6" s="152"/>
    </row>
    <row r="8" spans="1:21" ht="15" x14ac:dyDescent="0.25">
      <c r="A8" s="150" t="s">
        <v>984</v>
      </c>
      <c r="Q8" s="153"/>
      <c r="R8" s="153"/>
      <c r="S8" s="153"/>
      <c r="T8" s="153"/>
      <c r="U8" s="153"/>
    </row>
    <row r="9" spans="1:21" x14ac:dyDescent="0.2">
      <c r="A9" s="152" t="str">
        <f>HLOOKUP(Intro!$B$7,$B:$E,ROW(A9),FALSE)</f>
        <v>Eén</v>
      </c>
      <c r="B9" s="152" t="s">
        <v>29</v>
      </c>
      <c r="C9" s="152" t="s">
        <v>985</v>
      </c>
    </row>
    <row r="10" spans="1:21" x14ac:dyDescent="0.2">
      <c r="A10" s="152" t="str">
        <f>HLOOKUP(Intro!$B$7,$B:$E,ROW(A10),FALSE)</f>
        <v>Twee</v>
      </c>
      <c r="B10" s="152" t="s">
        <v>986</v>
      </c>
      <c r="C10" s="152" t="s">
        <v>987</v>
      </c>
    </row>
    <row r="11" spans="1:21" x14ac:dyDescent="0.2">
      <c r="A11" s="152" t="str">
        <f>HLOOKUP(Intro!$B$7,$B:$E,ROW(A11),FALSE)</f>
        <v>Meer</v>
      </c>
      <c r="B11" s="152" t="s">
        <v>988</v>
      </c>
      <c r="C11" s="152" t="s">
        <v>989</v>
      </c>
    </row>
    <row r="12" spans="1:21" x14ac:dyDescent="0.2">
      <c r="A12" s="152"/>
      <c r="B12" s="152"/>
      <c r="C12" s="152"/>
    </row>
    <row r="13" spans="1:21" ht="15" x14ac:dyDescent="0.25">
      <c r="A13" s="150" t="s">
        <v>921</v>
      </c>
    </row>
    <row r="14" spans="1:21" x14ac:dyDescent="0.2">
      <c r="A14" s="152" t="str">
        <f>HLOOKUP(Intro!$B$7,$B:$E,ROW(A14),FALSE)</f>
        <v>loopt gewoon door</v>
      </c>
      <c r="B14" s="112" t="s">
        <v>922</v>
      </c>
      <c r="C14" s="112" t="s">
        <v>933</v>
      </c>
      <c r="D14" s="112" t="s">
        <v>934</v>
      </c>
      <c r="E14" s="112" t="s">
        <v>935</v>
      </c>
      <c r="F14" s="152">
        <v>13</v>
      </c>
    </row>
    <row r="15" spans="1:21" x14ac:dyDescent="0.2">
      <c r="A15" s="152" t="str">
        <f>HLOOKUP(Intro!$B$7,$B:$E,ROW(A15),FALSE)</f>
        <v>gestopt</v>
      </c>
      <c r="B15" s="112" t="s">
        <v>923</v>
      </c>
      <c r="C15" s="112" t="s">
        <v>936</v>
      </c>
      <c r="D15" s="112" t="s">
        <v>937</v>
      </c>
      <c r="E15" s="112" t="s">
        <v>938</v>
      </c>
      <c r="F15" s="152">
        <v>0</v>
      </c>
    </row>
    <row r="16" spans="1:21" x14ac:dyDescent="0.2">
      <c r="A16" s="152" t="str">
        <f>HLOOKUP(Intro!$B$7,$B:$E,ROW(A16),FALSE)</f>
        <v>tot maand 1</v>
      </c>
      <c r="B16" s="112" t="s">
        <v>939</v>
      </c>
      <c r="C16" s="112" t="s">
        <v>940</v>
      </c>
      <c r="D16" s="112" t="s">
        <v>941</v>
      </c>
      <c r="E16" s="112" t="s">
        <v>942</v>
      </c>
      <c r="F16" s="152">
        <v>1</v>
      </c>
    </row>
    <row r="17" spans="1:6" x14ac:dyDescent="0.2">
      <c r="A17" s="152" t="str">
        <f>HLOOKUP(Intro!$B$7,$B:$E,ROW(A17),FALSE)</f>
        <v>tot maand 2</v>
      </c>
      <c r="B17" s="112" t="s">
        <v>943</v>
      </c>
      <c r="C17" s="112" t="s">
        <v>944</v>
      </c>
      <c r="D17" s="112" t="s">
        <v>945</v>
      </c>
      <c r="E17" s="112" t="s">
        <v>946</v>
      </c>
      <c r="F17" s="152">
        <v>2</v>
      </c>
    </row>
    <row r="18" spans="1:6" x14ac:dyDescent="0.2">
      <c r="A18" s="152" t="str">
        <f>HLOOKUP(Intro!$B$7,$B:$E,ROW(A18),FALSE)</f>
        <v>tot maand 3</v>
      </c>
      <c r="B18" s="112" t="s">
        <v>947</v>
      </c>
      <c r="C18" s="112" t="s">
        <v>948</v>
      </c>
      <c r="D18" s="112" t="s">
        <v>949</v>
      </c>
      <c r="E18" s="112" t="s">
        <v>950</v>
      </c>
      <c r="F18" s="152">
        <v>3</v>
      </c>
    </row>
    <row r="19" spans="1:6" x14ac:dyDescent="0.2">
      <c r="A19" s="152" t="str">
        <f>HLOOKUP(Intro!$B$7,$B:$E,ROW(A19),FALSE)</f>
        <v>tot maand 4</v>
      </c>
      <c r="B19" s="112" t="s">
        <v>951</v>
      </c>
      <c r="C19" s="112" t="s">
        <v>952</v>
      </c>
      <c r="D19" s="112" t="s">
        <v>953</v>
      </c>
      <c r="E19" s="112" t="s">
        <v>954</v>
      </c>
      <c r="F19" s="152">
        <v>4</v>
      </c>
    </row>
    <row r="20" spans="1:6" x14ac:dyDescent="0.2">
      <c r="A20" s="152" t="str">
        <f>HLOOKUP(Intro!$B$7,$B:$E,ROW(A20),FALSE)</f>
        <v>tot maand 5</v>
      </c>
      <c r="B20" s="112" t="s">
        <v>955</v>
      </c>
      <c r="C20" s="112" t="s">
        <v>956</v>
      </c>
      <c r="D20" s="112" t="s">
        <v>957</v>
      </c>
      <c r="E20" s="112" t="s">
        <v>958</v>
      </c>
      <c r="F20" s="152">
        <v>5</v>
      </c>
    </row>
    <row r="21" spans="1:6" x14ac:dyDescent="0.2">
      <c r="A21" s="152" t="str">
        <f>HLOOKUP(Intro!$B$7,$B:$E,ROW(A21),FALSE)</f>
        <v>tot maand 6</v>
      </c>
      <c r="B21" s="112" t="s">
        <v>959</v>
      </c>
      <c r="C21" s="112" t="s">
        <v>960</v>
      </c>
      <c r="D21" s="112" t="s">
        <v>961</v>
      </c>
      <c r="E21" s="112" t="s">
        <v>962</v>
      </c>
      <c r="F21" s="152">
        <v>6</v>
      </c>
    </row>
    <row r="22" spans="1:6" x14ac:dyDescent="0.2">
      <c r="A22" s="152"/>
      <c r="B22" s="152"/>
      <c r="C22" s="152"/>
    </row>
    <row r="23" spans="1:6" ht="15" x14ac:dyDescent="0.25">
      <c r="A23" s="150" t="s">
        <v>1064</v>
      </c>
      <c r="B23" s="159"/>
      <c r="C23" s="159"/>
      <c r="D23" s="159"/>
      <c r="E23" s="159"/>
    </row>
    <row r="24" spans="1:6" x14ac:dyDescent="0.2">
      <c r="A24" s="152" t="str">
        <f>HLOOKUP(Intro!$B$7,$B:$E,ROW(A24),FALSE)</f>
        <v>Ja</v>
      </c>
      <c r="B24" s="112" t="s">
        <v>33</v>
      </c>
      <c r="C24" s="112" t="s">
        <v>893</v>
      </c>
      <c r="D24" s="112" t="s">
        <v>894</v>
      </c>
      <c r="E24" s="112" t="s">
        <v>894</v>
      </c>
    </row>
    <row r="25" spans="1:6" x14ac:dyDescent="0.2">
      <c r="A25" s="152" t="str">
        <f>HLOOKUP(Intro!$B$7,$B:$E,ROW(A25),FALSE)</f>
        <v>Nee</v>
      </c>
      <c r="B25" s="112" t="s">
        <v>895</v>
      </c>
      <c r="C25" s="112" t="s">
        <v>896</v>
      </c>
      <c r="D25" s="112" t="s">
        <v>896</v>
      </c>
      <c r="E25" s="112" t="s">
        <v>896</v>
      </c>
    </row>
    <row r="27" spans="1:6" ht="15" x14ac:dyDescent="0.25">
      <c r="A27" s="150" t="s">
        <v>1063</v>
      </c>
    </row>
    <row r="28" spans="1:6" x14ac:dyDescent="0.2">
      <c r="A28" s="152" t="str">
        <f>HLOOKUP(Intro!$B$7,$B:$E,ROW(A28),FALSE)</f>
        <v>Breng ik zelf in</v>
      </c>
      <c r="B28" s="112" t="s">
        <v>925</v>
      </c>
      <c r="C28" s="112" t="s">
        <v>926</v>
      </c>
      <c r="D28" s="112" t="s">
        <v>927</v>
      </c>
      <c r="E28" s="112" t="s">
        <v>928</v>
      </c>
    </row>
    <row r="29" spans="1:6" x14ac:dyDescent="0.2">
      <c r="A29" s="152" t="str">
        <f>HLOOKUP(Intro!$B$7,$B:$E,ROW(A29),FALSE)</f>
        <v>Zijn nog te investeren</v>
      </c>
      <c r="B29" s="112" t="s">
        <v>929</v>
      </c>
      <c r="C29" s="112" t="s">
        <v>930</v>
      </c>
      <c r="D29" s="112" t="s">
        <v>931</v>
      </c>
      <c r="E29" s="112" t="s">
        <v>932</v>
      </c>
    </row>
    <row r="31" spans="1:6" ht="15" x14ac:dyDescent="0.25">
      <c r="A31" s="150" t="s">
        <v>776</v>
      </c>
      <c r="D31" s="112" t="s">
        <v>979</v>
      </c>
      <c r="E31" s="112" t="s">
        <v>980</v>
      </c>
      <c r="F31" s="163" t="s">
        <v>574</v>
      </c>
    </row>
    <row r="32" spans="1:6" x14ac:dyDescent="0.2">
      <c r="A32" s="152" t="str">
        <f>HLOOKUP(Intro!$B$7,$B:$E,ROW(A32),FALSE)</f>
        <v>Maand 1</v>
      </c>
      <c r="B32" s="112" t="s">
        <v>37</v>
      </c>
      <c r="C32" s="112" t="s">
        <v>367</v>
      </c>
      <c r="D32" s="112" t="s">
        <v>368</v>
      </c>
      <c r="E32" s="112" t="s">
        <v>369</v>
      </c>
      <c r="F32" s="152">
        <v>1</v>
      </c>
    </row>
    <row r="33" spans="1:7" x14ac:dyDescent="0.2">
      <c r="A33" s="152" t="str">
        <f>HLOOKUP(Intro!$B$7,$B:$E,ROW(A33),FALSE)</f>
        <v>Maand 2</v>
      </c>
      <c r="B33" s="112" t="s">
        <v>39</v>
      </c>
      <c r="C33" s="112" t="s">
        <v>370</v>
      </c>
      <c r="D33" s="112" t="s">
        <v>371</v>
      </c>
      <c r="E33" s="112" t="s">
        <v>372</v>
      </c>
      <c r="F33" s="152">
        <v>2</v>
      </c>
    </row>
    <row r="34" spans="1:7" x14ac:dyDescent="0.2">
      <c r="A34" s="152" t="str">
        <f>HLOOKUP(Intro!$B$7,$B:$E,ROW(A34),FALSE)</f>
        <v>Maand 3</v>
      </c>
      <c r="B34" s="112" t="s">
        <v>40</v>
      </c>
      <c r="C34" s="112" t="s">
        <v>373</v>
      </c>
      <c r="D34" s="112" t="s">
        <v>374</v>
      </c>
      <c r="E34" s="112" t="s">
        <v>375</v>
      </c>
      <c r="F34" s="152">
        <v>3</v>
      </c>
    </row>
    <row r="35" spans="1:7" x14ac:dyDescent="0.2">
      <c r="A35" s="152" t="str">
        <f>HLOOKUP(Intro!$B$7,$B:$E,ROW(A35),FALSE)</f>
        <v>Maand 4</v>
      </c>
      <c r="B35" s="112" t="s">
        <v>41</v>
      </c>
      <c r="C35" s="112" t="s">
        <v>376</v>
      </c>
      <c r="D35" s="112" t="s">
        <v>377</v>
      </c>
      <c r="E35" s="112" t="s">
        <v>378</v>
      </c>
      <c r="F35" s="152">
        <v>4</v>
      </c>
    </row>
    <row r="36" spans="1:7" x14ac:dyDescent="0.2">
      <c r="A36" s="152" t="str">
        <f>HLOOKUP(Intro!$B$7,$B:$E,ROW(A36),FALSE)</f>
        <v>Maand 5</v>
      </c>
      <c r="B36" s="112" t="s">
        <v>42</v>
      </c>
      <c r="C36" s="112" t="s">
        <v>379</v>
      </c>
      <c r="D36" s="112" t="s">
        <v>380</v>
      </c>
      <c r="E36" s="112" t="s">
        <v>381</v>
      </c>
      <c r="F36" s="152">
        <v>5</v>
      </c>
    </row>
    <row r="37" spans="1:7" x14ac:dyDescent="0.2">
      <c r="A37" s="152" t="str">
        <f>HLOOKUP(Intro!$B$7,$B:$E,ROW(A37),FALSE)</f>
        <v>Maand 6</v>
      </c>
      <c r="B37" s="112" t="s">
        <v>43</v>
      </c>
      <c r="C37" s="112" t="s">
        <v>382</v>
      </c>
      <c r="D37" s="112" t="s">
        <v>383</v>
      </c>
      <c r="E37" s="112" t="s">
        <v>384</v>
      </c>
      <c r="F37" s="152">
        <v>6</v>
      </c>
    </row>
    <row r="38" spans="1:7" x14ac:dyDescent="0.2">
      <c r="A38" s="152" t="str">
        <f>HLOOKUP(Intro!$B$7,$B:$E,ROW(A38),FALSE)</f>
        <v>Maand 7</v>
      </c>
      <c r="B38" s="112" t="s">
        <v>44</v>
      </c>
      <c r="C38" s="112" t="s">
        <v>385</v>
      </c>
      <c r="D38" s="112" t="s">
        <v>386</v>
      </c>
      <c r="E38" s="112" t="s">
        <v>387</v>
      </c>
      <c r="F38" s="152">
        <v>7</v>
      </c>
    </row>
    <row r="39" spans="1:7" x14ac:dyDescent="0.2">
      <c r="A39" s="152" t="str">
        <f>HLOOKUP(Intro!$B$7,$B:$E,ROW(A39),FALSE)</f>
        <v>Maand 8</v>
      </c>
      <c r="B39" s="112" t="s">
        <v>45</v>
      </c>
      <c r="C39" s="112" t="s">
        <v>388</v>
      </c>
      <c r="D39" s="112" t="s">
        <v>389</v>
      </c>
      <c r="E39" s="112" t="s">
        <v>390</v>
      </c>
      <c r="F39" s="152">
        <v>8</v>
      </c>
    </row>
    <row r="40" spans="1:7" x14ac:dyDescent="0.2">
      <c r="A40" s="152" t="str">
        <f>HLOOKUP(Intro!$B$7,$B:$E,ROW(A40),FALSE)</f>
        <v>Maand 9</v>
      </c>
      <c r="B40" s="112" t="s">
        <v>46</v>
      </c>
      <c r="C40" s="112" t="s">
        <v>391</v>
      </c>
      <c r="D40" s="112" t="s">
        <v>392</v>
      </c>
      <c r="E40" s="112" t="s">
        <v>393</v>
      </c>
      <c r="F40" s="152">
        <v>9</v>
      </c>
    </row>
    <row r="42" spans="1:7" x14ac:dyDescent="0.2">
      <c r="A42" s="159" t="s">
        <v>900</v>
      </c>
      <c r="F42" s="160"/>
      <c r="G42" s="160"/>
    </row>
    <row r="43" spans="1:7" x14ac:dyDescent="0.2">
      <c r="A43" s="159" t="s">
        <v>902</v>
      </c>
      <c r="F43" s="160"/>
      <c r="G43" s="160"/>
    </row>
    <row r="44" spans="1:7" x14ac:dyDescent="0.2">
      <c r="A44" s="152" t="str">
        <f>HLOOKUP(Intro!$B$7,$B:$E,ROW(A44),FALSE)</f>
        <v>Direct</v>
      </c>
      <c r="B44" s="112" t="s">
        <v>34</v>
      </c>
      <c r="C44" s="112" t="s">
        <v>34</v>
      </c>
      <c r="D44" s="112" t="s">
        <v>904</v>
      </c>
      <c r="E44" s="112" t="s">
        <v>34</v>
      </c>
      <c r="F44" s="161">
        <v>0</v>
      </c>
      <c r="G44" s="162"/>
    </row>
    <row r="45" spans="1:7" x14ac:dyDescent="0.2">
      <c r="A45" s="152" t="str">
        <f>HLOOKUP(Intro!$B$7,$B:$E,ROW(A45),FALSE)</f>
        <v>Binnen 14 dagen</v>
      </c>
      <c r="B45" s="112" t="s">
        <v>905</v>
      </c>
      <c r="C45" s="112" t="s">
        <v>906</v>
      </c>
      <c r="D45" s="112" t="s">
        <v>907</v>
      </c>
      <c r="E45" s="112" t="s">
        <v>908</v>
      </c>
      <c r="F45" s="161">
        <v>0</v>
      </c>
      <c r="G45" s="162"/>
    </row>
    <row r="46" spans="1:7" x14ac:dyDescent="0.2">
      <c r="A46" s="152" t="str">
        <f>HLOOKUP(Intro!$B$7,$B:$E,ROW(A46),FALSE)</f>
        <v>Binnen 30 dagen</v>
      </c>
      <c r="B46" s="112" t="s">
        <v>909</v>
      </c>
      <c r="C46" s="112" t="s">
        <v>910</v>
      </c>
      <c r="D46" s="112" t="s">
        <v>911</v>
      </c>
      <c r="E46" s="112" t="s">
        <v>912</v>
      </c>
      <c r="F46" s="161">
        <v>0</v>
      </c>
      <c r="G46" s="162"/>
    </row>
    <row r="47" spans="1:7" x14ac:dyDescent="0.2">
      <c r="A47" s="152" t="str">
        <f>HLOOKUP(Intro!$B$7,$B:$E,ROW(A47),FALSE)</f>
        <v>Binnen 60 dagen</v>
      </c>
      <c r="B47" s="112" t="s">
        <v>913</v>
      </c>
      <c r="C47" s="112" t="s">
        <v>914</v>
      </c>
      <c r="D47" s="112" t="s">
        <v>915</v>
      </c>
      <c r="E47" s="112" t="s">
        <v>916</v>
      </c>
      <c r="F47" s="161">
        <v>1</v>
      </c>
      <c r="G47" s="162"/>
    </row>
    <row r="48" spans="1:7" x14ac:dyDescent="0.2">
      <c r="A48" s="152" t="str">
        <f>HLOOKUP(Intro!$B$7,$B:$E,ROW(A48),FALSE)</f>
        <v>Binnen 90 dagen</v>
      </c>
      <c r="B48" s="112" t="s">
        <v>917</v>
      </c>
      <c r="C48" s="112" t="s">
        <v>918</v>
      </c>
      <c r="D48" s="112" t="s">
        <v>919</v>
      </c>
      <c r="E48" s="112" t="s">
        <v>920</v>
      </c>
      <c r="F48" s="161">
        <v>2</v>
      </c>
      <c r="G48" s="162"/>
    </row>
    <row r="51" spans="1:6" x14ac:dyDescent="0.2">
      <c r="A51" s="159" t="s">
        <v>601</v>
      </c>
      <c r="B51" s="154"/>
      <c r="C51" s="154"/>
      <c r="D51" s="154"/>
      <c r="E51" s="154"/>
    </row>
    <row r="52" spans="1:6" x14ac:dyDescent="0.2">
      <c r="A52" s="155">
        <f>HLOOKUP(Intro!$B$7,$B:$E,ROW(A52),FALSE)</f>
        <v>0</v>
      </c>
      <c r="B52" s="156">
        <v>0</v>
      </c>
      <c r="C52" s="156">
        <v>0</v>
      </c>
      <c r="D52" s="156">
        <v>0</v>
      </c>
      <c r="E52" s="156">
        <v>0</v>
      </c>
    </row>
    <row r="53" spans="1:6" x14ac:dyDescent="0.2">
      <c r="A53" s="155">
        <v>0.09</v>
      </c>
      <c r="B53" s="156">
        <v>1.4999999999999999E-2</v>
      </c>
      <c r="C53" s="156">
        <v>1.4999999999999999E-2</v>
      </c>
      <c r="D53" s="156">
        <v>1.4999999999999999E-2</v>
      </c>
      <c r="E53" s="156">
        <v>1.4999999999999999E-2</v>
      </c>
    </row>
    <row r="54" spans="1:6" x14ac:dyDescent="0.2">
      <c r="A54" s="155">
        <v>0.21</v>
      </c>
      <c r="B54" s="156">
        <v>3.5000000000000003E-2</v>
      </c>
      <c r="C54" s="156">
        <v>3.5000000000000003E-2</v>
      </c>
      <c r="D54" s="156">
        <v>3.5000000000000003E-2</v>
      </c>
      <c r="E54" s="156">
        <v>3.5000000000000003E-2</v>
      </c>
    </row>
    <row r="55" spans="1:6" x14ac:dyDescent="0.2">
      <c r="A55" s="155"/>
      <c r="B55" s="156"/>
      <c r="C55" s="156"/>
      <c r="D55" s="156"/>
      <c r="E55" s="156"/>
    </row>
    <row r="56" spans="1:6" x14ac:dyDescent="0.2">
      <c r="A56" s="159" t="s">
        <v>57</v>
      </c>
      <c r="D56" s="112" t="s">
        <v>963</v>
      </c>
      <c r="E56" s="112" t="s">
        <v>964</v>
      </c>
    </row>
    <row r="57" spans="1:6" x14ac:dyDescent="0.2">
      <c r="A57" s="155" t="str">
        <f>HLOOKUP(Intro!$B$7,$B:$E,ROW(A57),FALSE)</f>
        <v>Nee</v>
      </c>
      <c r="B57" s="112" t="s">
        <v>895</v>
      </c>
      <c r="C57" s="112" t="s">
        <v>896</v>
      </c>
      <c r="D57" s="112" t="s">
        <v>896</v>
      </c>
      <c r="E57" s="112" t="s">
        <v>896</v>
      </c>
      <c r="F57" s="160">
        <v>0</v>
      </c>
    </row>
    <row r="58" spans="1:6" x14ac:dyDescent="0.2">
      <c r="A58" s="155" t="str">
        <f>HLOOKUP(Intro!$B$7,$B:$E,ROW(A58),FALSE)</f>
        <v>minder dan 525 uren</v>
      </c>
      <c r="B58" s="112" t="s">
        <v>897</v>
      </c>
      <c r="C58" s="112" t="s">
        <v>1116</v>
      </c>
      <c r="D58" s="112" t="s">
        <v>965</v>
      </c>
      <c r="E58" s="112" t="s">
        <v>966</v>
      </c>
      <c r="F58" s="160">
        <v>1</v>
      </c>
    </row>
    <row r="59" spans="1:6" x14ac:dyDescent="0.2">
      <c r="A59" s="155" t="str">
        <f>HLOOKUP(Intro!$B$7,$B:$E,ROW(A59),FALSE)</f>
        <v>525 - 875 uren</v>
      </c>
      <c r="B59" s="112" t="s">
        <v>898</v>
      </c>
      <c r="C59" s="112" t="s">
        <v>967</v>
      </c>
      <c r="D59" s="112" t="s">
        <v>968</v>
      </c>
      <c r="E59" s="112" t="s">
        <v>969</v>
      </c>
      <c r="F59" s="160">
        <v>2</v>
      </c>
    </row>
    <row r="60" spans="1:6" x14ac:dyDescent="0.2">
      <c r="A60" s="155" t="str">
        <f>HLOOKUP(Intro!$B$7,$B:$E,ROW(A60),FALSE)</f>
        <v>875 -1225 uren</v>
      </c>
      <c r="B60" s="112" t="s">
        <v>899</v>
      </c>
      <c r="C60" s="112" t="s">
        <v>970</v>
      </c>
      <c r="D60" s="112" t="s">
        <v>971</v>
      </c>
      <c r="E60" s="112" t="s">
        <v>972</v>
      </c>
      <c r="F60" s="160">
        <v>3</v>
      </c>
    </row>
    <row r="61" spans="1:6" x14ac:dyDescent="0.2">
      <c r="A61" s="155" t="str">
        <f>HLOOKUP(Intro!$B$7,$B:$E,ROW(A61),FALSE)</f>
        <v>1225 - 1750 uren</v>
      </c>
      <c r="B61" s="112" t="s">
        <v>901</v>
      </c>
      <c r="C61" s="112" t="s">
        <v>973</v>
      </c>
      <c r="D61" s="112" t="s">
        <v>974</v>
      </c>
      <c r="E61" s="112" t="s">
        <v>975</v>
      </c>
      <c r="F61" s="160">
        <v>4</v>
      </c>
    </row>
    <row r="62" spans="1:6" x14ac:dyDescent="0.2">
      <c r="A62" s="155" t="str">
        <f>HLOOKUP(Intro!$B$7,$B:$E,ROW(A62),FALSE)</f>
        <v>meer dan 1750 uren</v>
      </c>
      <c r="B62" s="112" t="s">
        <v>903</v>
      </c>
      <c r="C62" s="112" t="s">
        <v>976</v>
      </c>
      <c r="D62" s="112" t="s">
        <v>977</v>
      </c>
      <c r="E62" s="112" t="s">
        <v>978</v>
      </c>
      <c r="F62" s="160">
        <v>5</v>
      </c>
    </row>
    <row r="63" spans="1:6" x14ac:dyDescent="0.2">
      <c r="A63" s="155"/>
      <c r="B63" s="156"/>
      <c r="C63" s="156"/>
      <c r="D63" s="156"/>
      <c r="E63" s="156"/>
    </row>
    <row r="64" spans="1:6" x14ac:dyDescent="0.2">
      <c r="A64" s="159" t="s">
        <v>892</v>
      </c>
    </row>
    <row r="65" spans="1:5" x14ac:dyDescent="0.2">
      <c r="A65" s="157">
        <f>HLOOKUP(Intro!$B$7,$B:$E,ROW(A65),FALSE)</f>
        <v>1</v>
      </c>
      <c r="B65" s="112">
        <v>1</v>
      </c>
      <c r="C65" s="112">
        <v>1</v>
      </c>
      <c r="D65" s="112">
        <v>1</v>
      </c>
      <c r="E65" s="112">
        <v>1</v>
      </c>
    </row>
    <row r="66" spans="1:5" x14ac:dyDescent="0.2">
      <c r="A66" s="157">
        <f>HLOOKUP(Intro!$B$7,$B:$E,ROW(A66),FALSE)</f>
        <v>2</v>
      </c>
      <c r="B66" s="112">
        <v>2</v>
      </c>
      <c r="C66" s="112">
        <v>2</v>
      </c>
      <c r="D66" s="112">
        <v>2</v>
      </c>
      <c r="E66" s="112">
        <v>2</v>
      </c>
    </row>
    <row r="67" spans="1:5" x14ac:dyDescent="0.2">
      <c r="A67" s="157">
        <f>HLOOKUP(Intro!$B$7,$B:$E,ROW(A67),FALSE)</f>
        <v>3</v>
      </c>
      <c r="B67" s="112">
        <v>3</v>
      </c>
      <c r="C67" s="112">
        <v>3</v>
      </c>
      <c r="D67" s="112">
        <v>3</v>
      </c>
      <c r="E67" s="112">
        <v>3</v>
      </c>
    </row>
    <row r="68" spans="1:5" x14ac:dyDescent="0.2">
      <c r="A68" s="157">
        <f>HLOOKUP(Intro!$B$7,$B:$E,ROW(A68),FALSE)</f>
        <v>4</v>
      </c>
      <c r="B68" s="112">
        <v>4</v>
      </c>
      <c r="C68" s="112">
        <v>4</v>
      </c>
      <c r="D68" s="112">
        <v>4</v>
      </c>
      <c r="E68" s="112">
        <v>4</v>
      </c>
    </row>
    <row r="69" spans="1:5" x14ac:dyDescent="0.2">
      <c r="A69" s="157">
        <f>HLOOKUP(Intro!$B$7,$B:$E,ROW(A69),FALSE)</f>
        <v>5</v>
      </c>
      <c r="B69" s="112">
        <v>5</v>
      </c>
      <c r="C69" s="112">
        <v>5</v>
      </c>
      <c r="D69" s="112">
        <v>5</v>
      </c>
      <c r="E69" s="112">
        <v>5</v>
      </c>
    </row>
    <row r="70" spans="1:5" x14ac:dyDescent="0.2">
      <c r="A70" s="157">
        <f>HLOOKUP(Intro!$B$7,$B:$E,ROW(A70),FALSE)</f>
        <v>6</v>
      </c>
      <c r="B70" s="112">
        <v>6</v>
      </c>
      <c r="C70" s="112">
        <v>6</v>
      </c>
      <c r="D70" s="112">
        <v>6</v>
      </c>
      <c r="E70" s="112">
        <v>6</v>
      </c>
    </row>
    <row r="71" spans="1:5" x14ac:dyDescent="0.2">
      <c r="A71" s="157">
        <f>HLOOKUP(Intro!$B$7,$B:$E,ROW(A71),FALSE)</f>
        <v>7</v>
      </c>
      <c r="B71" s="112">
        <v>7</v>
      </c>
      <c r="C71" s="112">
        <v>7</v>
      </c>
      <c r="D71" s="112">
        <v>7</v>
      </c>
      <c r="E71" s="112">
        <v>7</v>
      </c>
    </row>
    <row r="72" spans="1:5" x14ac:dyDescent="0.2">
      <c r="A72" s="157">
        <f>HLOOKUP(Intro!$B$7,$B:$E,ROW(A72),FALSE)</f>
        <v>8</v>
      </c>
      <c r="B72" s="112">
        <v>8</v>
      </c>
      <c r="C72" s="112">
        <v>8</v>
      </c>
      <c r="D72" s="112">
        <v>8</v>
      </c>
      <c r="E72" s="112">
        <v>8</v>
      </c>
    </row>
    <row r="73" spans="1:5" x14ac:dyDescent="0.2">
      <c r="A73" s="157">
        <f>HLOOKUP(Intro!$B$7,$B:$E,ROW(A73),FALSE)</f>
        <v>9</v>
      </c>
      <c r="B73" s="112">
        <v>9</v>
      </c>
      <c r="C73" s="112">
        <v>9</v>
      </c>
      <c r="D73" s="112">
        <v>9</v>
      </c>
      <c r="E73" s="112">
        <v>9</v>
      </c>
    </row>
    <row r="74" spans="1:5" x14ac:dyDescent="0.2">
      <c r="A74" s="157">
        <f>HLOOKUP(Intro!$B$7,$B:$E,ROW(A74),FALSE)</f>
        <v>10</v>
      </c>
      <c r="B74" s="112">
        <v>10</v>
      </c>
      <c r="C74" s="112">
        <v>10</v>
      </c>
      <c r="D74" s="112">
        <v>10</v>
      </c>
      <c r="E74" s="112">
        <v>10</v>
      </c>
    </row>
    <row r="75" spans="1:5" x14ac:dyDescent="0.2">
      <c r="A75" s="158"/>
    </row>
    <row r="76" spans="1:5" x14ac:dyDescent="0.2">
      <c r="A76" s="159" t="s">
        <v>924</v>
      </c>
    </row>
    <row r="77" spans="1:5" x14ac:dyDescent="0.2">
      <c r="A77" s="157">
        <f>HLOOKUP(Intro!$B$7,$B:$E,ROW(A77),FALSE)</f>
        <v>0</v>
      </c>
      <c r="B77" s="112">
        <v>0</v>
      </c>
      <c r="C77" s="112">
        <v>0</v>
      </c>
      <c r="D77" s="112">
        <v>0</v>
      </c>
      <c r="E77" s="112">
        <v>0</v>
      </c>
    </row>
    <row r="78" spans="1:5" x14ac:dyDescent="0.2">
      <c r="A78" s="157">
        <f>HLOOKUP(Intro!$B$7,$B:$E,ROW(A78),FALSE)</f>
        <v>1</v>
      </c>
      <c r="B78" s="112">
        <v>1</v>
      </c>
      <c r="C78" s="112">
        <v>1</v>
      </c>
      <c r="D78" s="112">
        <v>1</v>
      </c>
      <c r="E78" s="112">
        <v>1</v>
      </c>
    </row>
    <row r="79" spans="1:5" x14ac:dyDescent="0.2">
      <c r="A79" s="157">
        <f>HLOOKUP(Intro!$B$7,$B:$E,ROW(A79),FALSE)</f>
        <v>2</v>
      </c>
      <c r="B79" s="112">
        <v>2</v>
      </c>
      <c r="C79" s="112">
        <v>2</v>
      </c>
      <c r="D79" s="112">
        <v>2</v>
      </c>
      <c r="E79" s="112">
        <v>2</v>
      </c>
    </row>
    <row r="80" spans="1:5" x14ac:dyDescent="0.2">
      <c r="A80" s="157">
        <f>HLOOKUP(Intro!$B$7,$B:$E,ROW(A80),FALSE)</f>
        <v>3</v>
      </c>
      <c r="B80" s="112">
        <v>3</v>
      </c>
      <c r="C80" s="112">
        <v>3</v>
      </c>
      <c r="D80" s="112">
        <v>3</v>
      </c>
      <c r="E80" s="112">
        <v>3</v>
      </c>
    </row>
    <row r="81" spans="1:5" x14ac:dyDescent="0.2">
      <c r="A81" s="157">
        <f>HLOOKUP(Intro!$B$7,$B:$E,ROW(A81),FALSE)</f>
        <v>4</v>
      </c>
      <c r="B81" s="112">
        <v>4</v>
      </c>
      <c r="C81" s="112">
        <v>4</v>
      </c>
      <c r="D81" s="112">
        <v>4</v>
      </c>
      <c r="E81" s="112">
        <v>4</v>
      </c>
    </row>
    <row r="82" spans="1:5" x14ac:dyDescent="0.2">
      <c r="A82" s="157">
        <f>HLOOKUP(Intro!$B$7,$B:$E,ROW(A82),FALSE)</f>
        <v>5</v>
      </c>
      <c r="B82" s="112">
        <v>5</v>
      </c>
      <c r="C82" s="112">
        <v>5</v>
      </c>
      <c r="D82" s="112">
        <v>5</v>
      </c>
      <c r="E82" s="112">
        <v>5</v>
      </c>
    </row>
    <row r="83" spans="1:5" x14ac:dyDescent="0.2">
      <c r="A83" s="157">
        <f>HLOOKUP(Intro!$B$7,$B:$E,ROW(A83),FALSE)</f>
        <v>6</v>
      </c>
      <c r="B83" s="112">
        <v>6</v>
      </c>
      <c r="C83" s="112">
        <v>6</v>
      </c>
      <c r="D83" s="112">
        <v>6</v>
      </c>
      <c r="E83" s="112">
        <v>6</v>
      </c>
    </row>
    <row r="84" spans="1:5" x14ac:dyDescent="0.2">
      <c r="A84" s="157">
        <f>HLOOKUP(Intro!$B$7,$B:$E,ROW(A84),FALSE)</f>
        <v>7</v>
      </c>
      <c r="B84" s="112">
        <v>7</v>
      </c>
      <c r="C84" s="112">
        <v>7</v>
      </c>
      <c r="D84" s="112">
        <v>7</v>
      </c>
      <c r="E84" s="112">
        <v>7</v>
      </c>
    </row>
    <row r="85" spans="1:5" x14ac:dyDescent="0.2">
      <c r="A85" s="157">
        <f>HLOOKUP(Intro!$B$7,$B:$E,ROW(A85),FALSE)</f>
        <v>8</v>
      </c>
      <c r="B85" s="112">
        <v>8</v>
      </c>
      <c r="C85" s="112">
        <v>8</v>
      </c>
      <c r="D85" s="112">
        <v>8</v>
      </c>
      <c r="E85" s="112">
        <v>8</v>
      </c>
    </row>
    <row r="86" spans="1:5" x14ac:dyDescent="0.2">
      <c r="A86" s="157">
        <f>HLOOKUP(Intro!$B$7,$B:$E,ROW(A86),FALSE)</f>
        <v>9</v>
      </c>
      <c r="B86" s="112">
        <v>9</v>
      </c>
      <c r="C86" s="112">
        <v>9</v>
      </c>
      <c r="D86" s="112">
        <v>9</v>
      </c>
      <c r="E86" s="112">
        <v>9</v>
      </c>
    </row>
    <row r="87" spans="1:5" x14ac:dyDescent="0.2">
      <c r="A87" s="157">
        <f>HLOOKUP(Intro!$B$7,$B:$E,ROW(A87),FALSE)</f>
        <v>10</v>
      </c>
      <c r="B87" s="112">
        <v>10</v>
      </c>
      <c r="C87" s="112">
        <v>10</v>
      </c>
      <c r="D87" s="112">
        <v>10</v>
      </c>
      <c r="E87" s="112">
        <v>10</v>
      </c>
    </row>
    <row r="88" spans="1:5" x14ac:dyDescent="0.2">
      <c r="A88" s="157">
        <f>HLOOKUP(Intro!$B$7,$B:$E,ROW(A88),FALSE)</f>
        <v>11</v>
      </c>
      <c r="B88" s="112">
        <v>11</v>
      </c>
      <c r="C88" s="112">
        <v>11</v>
      </c>
      <c r="D88" s="112">
        <v>11</v>
      </c>
      <c r="E88" s="112">
        <v>11</v>
      </c>
    </row>
    <row r="89" spans="1:5" x14ac:dyDescent="0.2">
      <c r="A89" s="157">
        <f>HLOOKUP(Intro!$B$7,$B:$E,ROW(A89),FALSE)</f>
        <v>12</v>
      </c>
      <c r="B89" s="112">
        <v>12</v>
      </c>
      <c r="C89" s="112">
        <v>12</v>
      </c>
      <c r="D89" s="112">
        <v>12</v>
      </c>
      <c r="E89" s="112">
        <v>12</v>
      </c>
    </row>
    <row r="90" spans="1:5" x14ac:dyDescent="0.2">
      <c r="A90" s="157"/>
    </row>
    <row r="91" spans="1:5" x14ac:dyDescent="0.2">
      <c r="A91" s="159" t="s">
        <v>817</v>
      </c>
    </row>
    <row r="92" spans="1:5" x14ac:dyDescent="0.2">
      <c r="A92" s="157" t="str">
        <f>HLOOKUP(Intro!$B$7,$B:$E,ROW(A92),FALSE)</f>
        <v>Annuïteit</v>
      </c>
      <c r="B92" s="152" t="s">
        <v>990</v>
      </c>
      <c r="C92" s="152" t="s">
        <v>991</v>
      </c>
    </row>
    <row r="93" spans="1:5" x14ac:dyDescent="0.2">
      <c r="A93" s="157" t="str">
        <f>HLOOKUP(Intro!$B$7,$B:$E,ROW(A93),FALSE)</f>
        <v>Lineair</v>
      </c>
      <c r="B93" s="152" t="s">
        <v>992</v>
      </c>
      <c r="C93" s="152" t="s">
        <v>993</v>
      </c>
    </row>
    <row r="94" spans="1:5" x14ac:dyDescent="0.2">
      <c r="A94" s="157"/>
    </row>
  </sheetData>
  <sheetProtection algorithmName="SHA-512" hashValue="WOcMJuee2MvVOi3YP97j0/zp/Gle1/Q8u7JzXMHPNbV9dHHuRFVAH9EgQR0vyTnmX1uS/Z27Ym8MhGUerquN5Q==" saltValue="YIGTWEjCLM4hUv+jWGqEYA==" spinCount="100000" sheet="1" objects="1" scenarios="1"/>
  <pageMargins left="0.7" right="0.7" top="0.75" bottom="0.75"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dimension ref="A1:U64"/>
  <sheetViews>
    <sheetView zoomScaleNormal="100" workbookViewId="0">
      <selection activeCell="B5" sqref="B5"/>
    </sheetView>
  </sheetViews>
  <sheetFormatPr defaultRowHeight="12.75" x14ac:dyDescent="0.2"/>
  <cols>
    <col min="1" max="1" width="20.85546875" style="29" customWidth="1"/>
    <col min="2" max="3" width="16.7109375" style="29" bestFit="1" customWidth="1"/>
    <col min="4" max="4" width="12" style="29" customWidth="1"/>
    <col min="5" max="5" width="11.7109375" style="29" bestFit="1" customWidth="1"/>
    <col min="6" max="7" width="20.28515625" style="29" bestFit="1" customWidth="1"/>
    <col min="8" max="8" width="9.140625" style="29"/>
    <col min="9" max="9" width="19.5703125" style="29" customWidth="1"/>
    <col min="10" max="10" width="15.42578125" style="29" bestFit="1" customWidth="1"/>
    <col min="11" max="11" width="12.140625" style="29" customWidth="1"/>
    <col min="12" max="12" width="7.85546875" style="29" customWidth="1"/>
    <col min="13" max="13" width="11" style="29" customWidth="1"/>
    <col min="14" max="14" width="10.28515625" style="29" customWidth="1"/>
    <col min="15" max="15" width="19.42578125" style="29" bestFit="1" customWidth="1"/>
    <col min="16" max="17" width="15.42578125" style="29" bestFit="1" customWidth="1"/>
    <col min="18" max="18" width="9.140625" style="29"/>
    <col min="19" max="20" width="10.28515625" style="29" bestFit="1" customWidth="1"/>
    <col min="21" max="16384" width="9.140625" style="29"/>
  </cols>
  <sheetData>
    <row r="1" spans="1:20" ht="24" thickTop="1" x14ac:dyDescent="0.35">
      <c r="A1" s="89" t="s">
        <v>1074</v>
      </c>
      <c r="B1" s="90"/>
      <c r="C1" s="90"/>
      <c r="D1" s="90"/>
      <c r="E1" s="90"/>
      <c r="F1" s="97" t="s">
        <v>994</v>
      </c>
      <c r="G1" s="98"/>
      <c r="J1" s="83" t="str">
        <f>VRAGENLIJST!$D$10</f>
        <v/>
      </c>
      <c r="Q1" s="83" t="str">
        <f>VRAGENLIJST!$F$10</f>
        <v>Ondernemer:</v>
      </c>
      <c r="R1" s="91"/>
      <c r="S1" s="91"/>
      <c r="T1" s="91"/>
    </row>
    <row r="2" spans="1:20" ht="13.5" thickBot="1" x14ac:dyDescent="0.25">
      <c r="A2" s="91" t="s">
        <v>995</v>
      </c>
      <c r="B2" s="92">
        <v>45162</v>
      </c>
      <c r="C2" s="90"/>
      <c r="D2" s="90"/>
      <c r="E2" s="90"/>
      <c r="F2" s="99" t="s">
        <v>740</v>
      </c>
      <c r="G2" s="100">
        <f>Exploitatie!$C$30</f>
        <v>0</v>
      </c>
      <c r="I2" s="99" t="s">
        <v>740</v>
      </c>
      <c r="J2" s="100">
        <f>IF(VRAGENLIJST!$D$4="B.V.",0,IF($J$1="",0,G2*VRAGENLIJST!$D$11))</f>
        <v>0</v>
      </c>
      <c r="P2" s="99" t="s">
        <v>996</v>
      </c>
      <c r="Q2" s="100">
        <f>IF(OR(VRAGENLIJST!$D$4=dropdowns!B6,VRAGENLIJST!D4=dropdowns!C6),0,IF(OR($Q$1=Vertaling!B40,Q1=Vertaling!C40),G2,G2*VRAGENLIJST!$F$11))</f>
        <v>0</v>
      </c>
      <c r="R2" s="101"/>
      <c r="S2" s="101"/>
      <c r="T2" s="101"/>
    </row>
    <row r="3" spans="1:20" ht="15.75" thickTop="1" x14ac:dyDescent="0.25">
      <c r="A3" s="82" t="s">
        <v>677</v>
      </c>
      <c r="B3" s="83" t="str">
        <f>VRAGENLIJST!$F$10</f>
        <v>Ondernemer:</v>
      </c>
      <c r="C3" s="83" t="str">
        <f>VRAGENLIJST!$D$10</f>
        <v/>
      </c>
      <c r="D3" s="90"/>
      <c r="F3" s="99" t="s">
        <v>997</v>
      </c>
      <c r="G3" s="100">
        <f>IF('Investering &amp; Financiering'!E6&gt;G4,'Investering &amp; Financiering'!E6)+IF('Investering &amp; Financiering'!E7&gt;G4,'Investering &amp; Financiering'!E7)+IF('Investering &amp; Financiering'!E8&gt;G4,'Investering &amp; Financiering'!E8)</f>
        <v>0</v>
      </c>
      <c r="I3" s="99" t="s">
        <v>997</v>
      </c>
      <c r="J3" s="100">
        <f>IF($J$1="",0,G3*VRAGENLIJST!$D$11)</f>
        <v>0</v>
      </c>
      <c r="P3" s="99" t="s">
        <v>997</v>
      </c>
      <c r="Q3" s="100">
        <f>IF($Q$1="Ondernemer:",G3,G3*VRAGENLIJST!$F$11)</f>
        <v>0</v>
      </c>
      <c r="S3" s="101"/>
      <c r="T3" s="101"/>
    </row>
    <row r="4" spans="1:20" ht="15" x14ac:dyDescent="0.25">
      <c r="A4" s="93" t="s">
        <v>750</v>
      </c>
      <c r="B4" s="94">
        <f>IF(Q2-Q4&lt;0,0,(Q2-Q4))</f>
        <v>0</v>
      </c>
      <c r="C4" s="94">
        <f>IF(J2-J4&lt;0,0,(J2-J4))</f>
        <v>0</v>
      </c>
      <c r="D4" s="90"/>
      <c r="E4" s="66"/>
      <c r="F4" s="101" t="s">
        <v>1065</v>
      </c>
      <c r="G4" s="100">
        <v>450</v>
      </c>
      <c r="I4" s="99" t="s">
        <v>746</v>
      </c>
      <c r="J4" s="100">
        <f>'IB VPB'!I6+'IB VPB'!I11+'IB VPB'!I16+'IB VPB'!I25+'IB VPB'!I36</f>
        <v>0</v>
      </c>
      <c r="P4" s="99" t="s">
        <v>746</v>
      </c>
      <c r="Q4" s="100">
        <f>'IB VPB'!P6+'IB VPB'!P11+'IB VPB'!P16+'IB VPB'!P25+'IB VPB'!P36</f>
        <v>0</v>
      </c>
      <c r="R4" s="91"/>
      <c r="S4" s="107"/>
      <c r="T4" s="101"/>
    </row>
    <row r="5" spans="1:20" ht="15" x14ac:dyDescent="0.25">
      <c r="A5" s="113" t="s">
        <v>754</v>
      </c>
      <c r="B5" s="115">
        <f>ROUNDDOWN(SUM(B21:E21),0)</f>
        <v>0</v>
      </c>
      <c r="C5" s="115">
        <f>ROUNDDOWN(SUM(B26:E26),0)</f>
        <v>0</v>
      </c>
      <c r="D5" s="90"/>
      <c r="E5" s="66"/>
      <c r="F5" s="99" t="s">
        <v>1077</v>
      </c>
      <c r="G5" s="100">
        <f>G2-J4-Q4</f>
        <v>0</v>
      </c>
      <c r="P5" s="91"/>
      <c r="Q5" s="102"/>
      <c r="R5" s="101"/>
      <c r="S5" s="101"/>
      <c r="T5" s="101"/>
    </row>
    <row r="6" spans="1:20" ht="21" x14ac:dyDescent="0.55000000000000004">
      <c r="A6" s="114" t="s">
        <v>1108</v>
      </c>
      <c r="B6" s="76">
        <f>IF(P39+P46&lt;0,0,P39+P46)</f>
        <v>0</v>
      </c>
      <c r="C6" s="76">
        <f>IF(I39+I46&lt;0,0,I39+I46)</f>
        <v>0</v>
      </c>
      <c r="D6" s="90"/>
      <c r="E6" s="145"/>
      <c r="I6" s="103">
        <f>IF(J$2&lt;=0,0,IF(OR(VRAGENLIJST!$D$232=dropdowns!$B$24,VRAGENLIJST!$D$232=dropdowns!$C$24,VRAGENLIJST!$D$232=dropdowns!$D$24,VRAGENLIJST!$D$232=dropdowns!$E$24),L9,0))</f>
        <v>0</v>
      </c>
      <c r="J6" s="415" t="str">
        <f>Q6</f>
        <v>Zelfstandigenaftrek (2023)</v>
      </c>
      <c r="K6" s="415"/>
      <c r="L6" s="415"/>
      <c r="M6" s="101"/>
      <c r="P6" s="103">
        <f>IF(Q$2&lt;=0,0,IF(OR(VRAGENLIJST!$F$232=dropdowns!$B$24,VRAGENLIJST!$F$232=dropdowns!$C$24,VRAGENLIJST!$F$232=dropdowns!$D$24,VRAGENLIJST!$F$232=dropdowns!$E$24),S9,0))</f>
        <v>0</v>
      </c>
      <c r="Q6" s="415" t="s">
        <v>1066</v>
      </c>
      <c r="R6" s="415"/>
      <c r="S6" s="415"/>
    </row>
    <row r="7" spans="1:20" ht="21" x14ac:dyDescent="0.55000000000000004">
      <c r="A7" s="114" t="s">
        <v>1107</v>
      </c>
      <c r="B7" s="76">
        <f>IF(P61&lt;0,0,P61)</f>
        <v>0</v>
      </c>
      <c r="C7" s="76">
        <f>IF(I61&lt;0,0,I61)</f>
        <v>0</v>
      </c>
      <c r="D7" s="90"/>
      <c r="E7" s="145"/>
      <c r="J7" s="416" t="s">
        <v>740</v>
      </c>
      <c r="K7" s="416"/>
      <c r="L7" s="105" t="s">
        <v>999</v>
      </c>
      <c r="M7" s="101"/>
      <c r="Q7" s="416" t="s">
        <v>740</v>
      </c>
      <c r="R7" s="416"/>
      <c r="S7" s="105" t="s">
        <v>999</v>
      </c>
      <c r="T7" s="101"/>
    </row>
    <row r="8" spans="1:20" ht="21" x14ac:dyDescent="0.55000000000000004">
      <c r="A8" s="114" t="s">
        <v>1105</v>
      </c>
      <c r="B8" s="76">
        <f>IF(P55&lt;0,0,P55)</f>
        <v>0</v>
      </c>
      <c r="C8" s="76">
        <f>IF(I55&lt;0,0,I55)</f>
        <v>0</v>
      </c>
      <c r="D8" s="90"/>
      <c r="E8" s="145"/>
      <c r="I8" s="104"/>
      <c r="J8" s="148" t="s">
        <v>1000</v>
      </c>
      <c r="K8" s="148" t="s">
        <v>1001</v>
      </c>
      <c r="L8" s="148"/>
      <c r="M8" s="101"/>
      <c r="P8" s="104"/>
      <c r="Q8" s="148" t="s">
        <v>1000</v>
      </c>
      <c r="R8" s="148" t="s">
        <v>1001</v>
      </c>
      <c r="S8" s="148"/>
      <c r="T8" s="101"/>
    </row>
    <row r="9" spans="1:20" ht="21" x14ac:dyDescent="0.55000000000000004">
      <c r="A9" s="114" t="s">
        <v>1076</v>
      </c>
      <c r="B9" s="76">
        <f>IF(OR(VRAGENLIJST!D4=dropdowns!$B$6,VRAGENLIJST!D4=dropdowns!$C$6,VRAGENLIJST!D4=dropdowns!$D$6,VRAGENLIJST!D4=dropdowns!$E$6),SUM(B35:E35),0)</f>
        <v>0</v>
      </c>
      <c r="C9" s="76">
        <f>IF(OR(VRAGENLIJST!D4=dropdowns!$B$6,VRAGENLIJST!D4=dropdowns!$C$6,VRAGENLIJST!D4=dropdowns!$D$6,VRAGENLIJST!D4=dropdowns!$E$6),SUM(B35:E35),0)</f>
        <v>0</v>
      </c>
      <c r="D9" s="90"/>
      <c r="E9" s="145"/>
      <c r="I9" s="104"/>
      <c r="J9" s="106">
        <f>Q9</f>
        <v>0</v>
      </c>
      <c r="K9" s="106"/>
      <c r="L9" s="106">
        <f>S9</f>
        <v>3750</v>
      </c>
      <c r="M9" s="107"/>
      <c r="P9" s="104"/>
      <c r="Q9" s="106">
        <v>0</v>
      </c>
      <c r="R9" s="106"/>
      <c r="S9" s="106">
        <v>3750</v>
      </c>
      <c r="T9" s="107"/>
    </row>
    <row r="10" spans="1:20" ht="15.75" thickBot="1" x14ac:dyDescent="0.3">
      <c r="A10" s="95" t="s">
        <v>998</v>
      </c>
      <c r="B10" s="116">
        <f>IF(B5-B6+B7+B8&lt;0,0,B5-B6+B7+B8)</f>
        <v>0</v>
      </c>
      <c r="C10" s="116">
        <f>IF(C5-C6+C7+C8&lt;0,0,C5-C6+C7+C8)</f>
        <v>0</v>
      </c>
      <c r="D10" s="90"/>
      <c r="E10" s="66"/>
      <c r="I10" s="104"/>
      <c r="J10" s="101"/>
      <c r="K10" s="101"/>
      <c r="L10" s="101"/>
      <c r="M10" s="101"/>
      <c r="P10" s="104"/>
      <c r="Q10" s="101"/>
      <c r="R10" s="101"/>
      <c r="S10" s="101"/>
      <c r="T10" s="101"/>
    </row>
    <row r="11" spans="1:20" ht="16.5" thickTop="1" thickBot="1" x14ac:dyDescent="0.3">
      <c r="A11" s="66"/>
      <c r="B11" s="117" t="e">
        <f>B10/Q2</f>
        <v>#DIV/0!</v>
      </c>
      <c r="C11" s="117" t="e">
        <f>C10/J2</f>
        <v>#DIV/0!</v>
      </c>
      <c r="D11" s="66"/>
      <c r="E11" s="66"/>
      <c r="I11" s="103">
        <f>IF(J$2&lt;=0,0,IF(OR(VRAGENLIJST!$D$234=dropdowns!$B$24,VRAGENLIJST!$D$234=dropdowns!$C$24,VRAGENLIJST!$D$234=dropdowns!$D$24,VRAGENLIJST!$D$234=dropdowns!$E$24),L14,0))</f>
        <v>0</v>
      </c>
      <c r="J11" s="415" t="str">
        <f>Q11</f>
        <v>Startersaftrek (2023)</v>
      </c>
      <c r="K11" s="415"/>
      <c r="L11" s="415"/>
      <c r="M11" s="101"/>
      <c r="P11" s="103">
        <f>IF(Q$2&lt;=0,0,IF(OR(VRAGENLIJST!$F$234=dropdowns!$B$24,VRAGENLIJST!$F$234=dropdowns!$C$24,VRAGENLIJST!$F$234=dropdowns!$D$24,VRAGENLIJST!$F$234=dropdowns!$E$24),S14,0))</f>
        <v>0</v>
      </c>
      <c r="Q11" s="415" t="s">
        <v>1067</v>
      </c>
      <c r="R11" s="415"/>
      <c r="S11" s="415"/>
      <c r="T11" s="101"/>
    </row>
    <row r="12" spans="1:20" ht="15.75" thickTop="1" x14ac:dyDescent="0.25">
      <c r="A12" s="82" t="s">
        <v>1071</v>
      </c>
      <c r="B12" s="83"/>
      <c r="C12" s="83"/>
      <c r="D12" s="83"/>
      <c r="E12" s="84"/>
      <c r="I12" s="104"/>
      <c r="J12" s="416" t="s">
        <v>740</v>
      </c>
      <c r="K12" s="416"/>
      <c r="L12" s="105" t="s">
        <v>999</v>
      </c>
      <c r="M12" s="101"/>
      <c r="P12" s="104"/>
      <c r="Q12" s="416" t="s">
        <v>740</v>
      </c>
      <c r="R12" s="416"/>
      <c r="S12" s="105" t="s">
        <v>999</v>
      </c>
      <c r="T12" s="101"/>
    </row>
    <row r="13" spans="1:20" ht="15" x14ac:dyDescent="0.25">
      <c r="A13" s="72" t="s">
        <v>1002</v>
      </c>
      <c r="B13" s="85">
        <v>0.36969999999999997</v>
      </c>
      <c r="C13" s="86">
        <v>0.495</v>
      </c>
      <c r="D13" s="85"/>
      <c r="E13" s="87"/>
      <c r="I13" s="104"/>
      <c r="J13" s="148" t="s">
        <v>1000</v>
      </c>
      <c r="K13" s="148" t="s">
        <v>1001</v>
      </c>
      <c r="L13" s="148"/>
      <c r="M13" s="101"/>
      <c r="P13" s="104"/>
      <c r="Q13" s="148" t="s">
        <v>1000</v>
      </c>
      <c r="R13" s="148" t="s">
        <v>1001</v>
      </c>
      <c r="S13" s="148"/>
      <c r="T13" s="101"/>
    </row>
    <row r="14" spans="1:20" ht="15.75" thickBot="1" x14ac:dyDescent="0.3">
      <c r="A14" s="88" t="s">
        <v>1003</v>
      </c>
      <c r="B14" s="80">
        <v>75624</v>
      </c>
      <c r="C14" s="80"/>
      <c r="D14" s="80"/>
      <c r="E14" s="81"/>
      <c r="I14" s="104"/>
      <c r="J14" s="106">
        <f t="shared" ref="J14:L14" si="0">Q14</f>
        <v>0</v>
      </c>
      <c r="K14" s="106"/>
      <c r="L14" s="106">
        <f t="shared" si="0"/>
        <v>2123</v>
      </c>
      <c r="M14" s="101"/>
      <c r="P14" s="104"/>
      <c r="Q14" s="106">
        <v>0</v>
      </c>
      <c r="R14" s="106"/>
      <c r="S14" s="106">
        <v>2123</v>
      </c>
      <c r="T14" s="101"/>
    </row>
    <row r="15" spans="1:20" ht="15.75" thickTop="1" x14ac:dyDescent="0.25">
      <c r="A15" s="66"/>
      <c r="B15" s="66"/>
      <c r="C15" s="66"/>
      <c r="D15" s="66"/>
      <c r="E15" s="66"/>
      <c r="I15" s="104"/>
      <c r="J15" s="101"/>
      <c r="K15" s="101"/>
      <c r="L15" s="101"/>
      <c r="M15" s="101"/>
      <c r="P15" s="104"/>
      <c r="Q15" s="101"/>
      <c r="R15" s="101"/>
      <c r="S15" s="101"/>
      <c r="T15" s="101"/>
    </row>
    <row r="16" spans="1:20" ht="15.75" thickBot="1" x14ac:dyDescent="0.3">
      <c r="A16" s="96"/>
      <c r="B16" s="66"/>
      <c r="C16" s="66"/>
      <c r="D16" s="66"/>
      <c r="E16" s="66"/>
      <c r="I16" s="103">
        <f>ROUNDUP(IF(J$2&lt;=0,0,IF(OR(VRAGENLIJST!$D$236=dropdowns!$B$25,VRAGENLIJST!$D$236=dropdowns!$C$25,VRAGENLIJST!$D$236=dropdowns!$D$25,VRAGENLIJST!$D$236=dropdowns!$E$25),0,SUM(M19:M23))),0)</f>
        <v>0</v>
      </c>
      <c r="J16" s="415" t="str">
        <f>Q16</f>
        <v>Meewerkaftrek (2023)</v>
      </c>
      <c r="K16" s="415"/>
      <c r="L16" s="415"/>
      <c r="M16" s="101"/>
      <c r="P16" s="103">
        <f>ROUNDUP(IF(Q$2&lt;=0,0,IF(OR(VRAGENLIJST!$F$236=dropdowns!$B$25,VRAGENLIJST!$F$236=dropdowns!$C$25,VRAGENLIJST!$F$236=dropdowns!$D$25,VRAGENLIJST!$F$236=dropdowns!$E$25),0,SUM(T19:T23))),0)</f>
        <v>0</v>
      </c>
      <c r="Q16" s="415" t="s">
        <v>1068</v>
      </c>
      <c r="R16" s="415"/>
      <c r="S16" s="415"/>
      <c r="T16" s="101"/>
    </row>
    <row r="17" spans="1:20" ht="15.75" thickTop="1" x14ac:dyDescent="0.25">
      <c r="A17" s="68" t="str">
        <f>B3</f>
        <v>Ondernemer:</v>
      </c>
      <c r="B17" s="69"/>
      <c r="C17" s="70"/>
      <c r="D17" s="70"/>
      <c r="E17" s="71"/>
      <c r="I17" s="104"/>
      <c r="J17" s="416" t="s">
        <v>1004</v>
      </c>
      <c r="K17" s="416"/>
      <c r="L17" s="105" t="s">
        <v>999</v>
      </c>
      <c r="M17" s="101"/>
      <c r="P17" s="104"/>
      <c r="Q17" s="416" t="s">
        <v>1004</v>
      </c>
      <c r="R17" s="416"/>
      <c r="S17" s="105" t="s">
        <v>999</v>
      </c>
      <c r="T17" s="101"/>
    </row>
    <row r="18" spans="1:20" ht="15" x14ac:dyDescent="0.25">
      <c r="A18" s="72" t="s">
        <v>1002</v>
      </c>
      <c r="B18" s="73">
        <f>B$13</f>
        <v>0.36969999999999997</v>
      </c>
      <c r="C18" s="74">
        <f>C$13</f>
        <v>0.495</v>
      </c>
      <c r="D18" s="73">
        <f>D$13</f>
        <v>0</v>
      </c>
      <c r="E18" s="75">
        <f>E$13</f>
        <v>0</v>
      </c>
      <c r="I18" s="104"/>
      <c r="J18" s="148" t="s">
        <v>1000</v>
      </c>
      <c r="K18" s="148" t="s">
        <v>1001</v>
      </c>
      <c r="L18" s="148"/>
      <c r="M18" s="101"/>
      <c r="P18" s="104"/>
      <c r="Q18" s="148" t="s">
        <v>1000</v>
      </c>
      <c r="R18" s="148" t="s">
        <v>1001</v>
      </c>
      <c r="S18" s="148"/>
      <c r="T18" s="101"/>
    </row>
    <row r="19" spans="1:20" ht="15" x14ac:dyDescent="0.25">
      <c r="A19" s="72" t="s">
        <v>1003</v>
      </c>
      <c r="B19" s="76">
        <f>B$14</f>
        <v>75624</v>
      </c>
      <c r="C19" s="76">
        <f>C$14</f>
        <v>0</v>
      </c>
      <c r="D19" s="76">
        <f>D$14</f>
        <v>0</v>
      </c>
      <c r="E19" s="77">
        <f>E$14</f>
        <v>0</v>
      </c>
      <c r="I19" s="104"/>
      <c r="J19" s="108">
        <f t="shared" ref="J19:J23" si="1">Q19</f>
        <v>0</v>
      </c>
      <c r="K19" s="108">
        <f t="shared" ref="K19:K22" si="2">R19</f>
        <v>525</v>
      </c>
      <c r="L19" s="109">
        <f t="shared" ref="L19:L23" si="3">S19</f>
        <v>0</v>
      </c>
      <c r="M19" s="107">
        <f>IF(VRAGENLIJST!$D$236=dropdowns!$A58,'IB VPB'!J$2*'IB VPB'!L19,0)</f>
        <v>0</v>
      </c>
      <c r="P19" s="104"/>
      <c r="Q19" s="108">
        <v>0</v>
      </c>
      <c r="R19" s="108">
        <v>525</v>
      </c>
      <c r="S19" s="109">
        <v>0</v>
      </c>
      <c r="T19" s="107">
        <f>IF(VRAGENLIJST!$F$236=dropdowns!$A58,'IB VPB'!Q$2*'IB VPB'!S19,0)</f>
        <v>0</v>
      </c>
    </row>
    <row r="20" spans="1:20" ht="15" x14ac:dyDescent="0.25">
      <c r="A20" s="78" t="s">
        <v>750</v>
      </c>
      <c r="B20" s="76">
        <f>IF(B4&lt;0,0,IF(B4&lt;B19,B4,B19))</f>
        <v>0</v>
      </c>
      <c r="C20" s="76">
        <f>IF(ISBLANK(C14),IF(B4&lt;B19,0,B4-B19),IF(B4&lt;B19,0,IF(B4&lt;C19,B4-B19,C19-B19)))</f>
        <v>0</v>
      </c>
      <c r="D20" s="76">
        <f>IF(AND(ISBLANK(D14),ISBLANK(C14)),0,IF(ISBLANK(D14),IF(B4&lt;C19,0,B4-C19),IF(B4&lt;C19,0,IF(B4&lt;D19,B4-C19,D19-C19))))</f>
        <v>0</v>
      </c>
      <c r="E20" s="77">
        <f>IF(AND(ISBLANK(E14),ISBLANK(D14)),0,IF(ISBLANK(E14),IF(B4&lt;D19,0,B4-D19),IF(B4&lt;D19,0,IF(B4&lt;E19,B4-D19,E19-D19))))</f>
        <v>0</v>
      </c>
      <c r="I20" s="104"/>
      <c r="J20" s="108">
        <f t="shared" si="1"/>
        <v>525</v>
      </c>
      <c r="K20" s="108">
        <f t="shared" si="2"/>
        <v>875</v>
      </c>
      <c r="L20" s="109">
        <f t="shared" si="3"/>
        <v>1.2500000000000001E-2</v>
      </c>
      <c r="M20" s="107">
        <f>IF(VRAGENLIJST!$D$236=dropdowns!$A59,'IB VPB'!J$2*'IB VPB'!L20,0)</f>
        <v>0</v>
      </c>
      <c r="P20" s="104"/>
      <c r="Q20" s="108">
        <f>R19</f>
        <v>525</v>
      </c>
      <c r="R20" s="108">
        <v>875</v>
      </c>
      <c r="S20" s="109">
        <v>1.2500000000000001E-2</v>
      </c>
      <c r="T20" s="107">
        <f>IF(VRAGENLIJST!$F$236=dropdowns!$A59,'IB VPB'!Q$2*'IB VPB'!S20,0)</f>
        <v>0</v>
      </c>
    </row>
    <row r="21" spans="1:20" ht="15.75" thickBot="1" x14ac:dyDescent="0.3">
      <c r="A21" s="79" t="s">
        <v>998</v>
      </c>
      <c r="B21" s="166">
        <f>B18*B20</f>
        <v>0</v>
      </c>
      <c r="C21" s="166">
        <f>C18*C20</f>
        <v>0</v>
      </c>
      <c r="D21" s="166">
        <f>D18*D20</f>
        <v>0</v>
      </c>
      <c r="E21" s="167">
        <f>E18*E20</f>
        <v>0</v>
      </c>
      <c r="I21" s="104"/>
      <c r="J21" s="108">
        <f t="shared" si="1"/>
        <v>875</v>
      </c>
      <c r="K21" s="108">
        <f t="shared" si="2"/>
        <v>1225</v>
      </c>
      <c r="L21" s="109">
        <f t="shared" si="3"/>
        <v>0.02</v>
      </c>
      <c r="M21" s="107">
        <f>IF(VRAGENLIJST!$D$236=dropdowns!$A60,'IB VPB'!J$2*'IB VPB'!L21,0)</f>
        <v>0</v>
      </c>
      <c r="P21" s="104"/>
      <c r="Q21" s="108">
        <f>R20</f>
        <v>875</v>
      </c>
      <c r="R21" s="108">
        <v>1225</v>
      </c>
      <c r="S21" s="109">
        <v>0.02</v>
      </c>
      <c r="T21" s="107">
        <f>IF(VRAGENLIJST!$F$236=dropdowns!$A60,'IB VPB'!Q$2*'IB VPB'!S21,0)</f>
        <v>0</v>
      </c>
    </row>
    <row r="22" spans="1:20" ht="15.75" thickTop="1" x14ac:dyDescent="0.25">
      <c r="A22" s="68" t="str">
        <f>C3</f>
        <v/>
      </c>
      <c r="B22" s="69"/>
      <c r="C22" s="70"/>
      <c r="D22" s="70"/>
      <c r="E22" s="71"/>
      <c r="I22" s="104"/>
      <c r="J22" s="108">
        <f t="shared" si="1"/>
        <v>1225</v>
      </c>
      <c r="K22" s="108">
        <f t="shared" si="2"/>
        <v>1750</v>
      </c>
      <c r="L22" s="109">
        <f t="shared" si="3"/>
        <v>0.03</v>
      </c>
      <c r="M22" s="107">
        <f>IF(VRAGENLIJST!$D$236=dropdowns!$A61,'IB VPB'!J$2*'IB VPB'!L22,0)</f>
        <v>0</v>
      </c>
      <c r="P22" s="104"/>
      <c r="Q22" s="108">
        <f>R21</f>
        <v>1225</v>
      </c>
      <c r="R22" s="108">
        <v>1750</v>
      </c>
      <c r="S22" s="109">
        <v>0.03</v>
      </c>
      <c r="T22" s="107">
        <f>IF(VRAGENLIJST!$F$236=dropdowns!$A61,'IB VPB'!Q$2*'IB VPB'!S22,0)</f>
        <v>0</v>
      </c>
    </row>
    <row r="23" spans="1:20" ht="15" x14ac:dyDescent="0.25">
      <c r="A23" s="72" t="s">
        <v>1002</v>
      </c>
      <c r="B23" s="73">
        <f>B$13</f>
        <v>0.36969999999999997</v>
      </c>
      <c r="C23" s="74">
        <f>C$13</f>
        <v>0.495</v>
      </c>
      <c r="D23" s="73">
        <f>D$13</f>
        <v>0</v>
      </c>
      <c r="E23" s="75">
        <f>E$13</f>
        <v>0</v>
      </c>
      <c r="I23" s="104"/>
      <c r="J23" s="108">
        <f t="shared" si="1"/>
        <v>1750</v>
      </c>
      <c r="K23" s="108"/>
      <c r="L23" s="109">
        <f t="shared" si="3"/>
        <v>0.04</v>
      </c>
      <c r="M23" s="107">
        <f>IF(VRAGENLIJST!$D$236=dropdowns!$A62,'IB VPB'!J$2*'IB VPB'!L23,0)</f>
        <v>0</v>
      </c>
      <c r="P23" s="104"/>
      <c r="Q23" s="108">
        <f>R22</f>
        <v>1750</v>
      </c>
      <c r="R23" s="108"/>
      <c r="S23" s="109">
        <v>0.04</v>
      </c>
      <c r="T23" s="107">
        <f>IF(VRAGENLIJST!$F$236=dropdowns!$A62,'IB VPB'!Q$2*'IB VPB'!S23,0)</f>
        <v>0</v>
      </c>
    </row>
    <row r="24" spans="1:20" ht="15" x14ac:dyDescent="0.25">
      <c r="A24" s="72" t="s">
        <v>1003</v>
      </c>
      <c r="B24" s="76">
        <f>B$14</f>
        <v>75624</v>
      </c>
      <c r="C24" s="76">
        <f>C$14</f>
        <v>0</v>
      </c>
      <c r="D24" s="76">
        <f>D$14</f>
        <v>0</v>
      </c>
      <c r="E24" s="77">
        <f>E14</f>
        <v>0</v>
      </c>
      <c r="I24" s="104"/>
      <c r="J24" s="101"/>
      <c r="K24" s="101"/>
      <c r="L24" s="101"/>
      <c r="M24" s="101"/>
      <c r="P24" s="104"/>
      <c r="Q24" s="101"/>
      <c r="R24" s="101"/>
      <c r="S24" s="101"/>
      <c r="T24" s="101"/>
    </row>
    <row r="25" spans="1:20" ht="15" x14ac:dyDescent="0.25">
      <c r="A25" s="78" t="s">
        <v>750</v>
      </c>
      <c r="B25" s="76">
        <f>IF(C4&lt;0,0,IF(C4&lt;B19,C4,B19))</f>
        <v>0</v>
      </c>
      <c r="C25" s="76">
        <f>IF(ISBLANK(C14),IF(C4&lt;B19,0,C4-B19),IF(C4&lt;B19,0,IF(C4&lt;C19,C4-B19,C19-B19)))</f>
        <v>0</v>
      </c>
      <c r="D25" s="76">
        <f>IF(AND(ISBLANK(D14),ISBLANK(C14)),0,IF(ISBLANK(D14),IF(C4&lt;C19,0,C4-C19),IF(C4&lt;C19,0,IF(C4&lt;D19,C4-C19,D19-C19))))</f>
        <v>0</v>
      </c>
      <c r="E25" s="77">
        <f>IF(AND(ISBLANK(E14),ISBLANK(D14)),0,IF(ISBLANK(E14),IF(C4&lt;D19,0,C4-D19),IF(C4&lt;D19,0,IF(C4&lt;E19,C4-D19,E19-D19))))</f>
        <v>0</v>
      </c>
      <c r="I25" s="103">
        <f>ROUNDUP(SUM(M28:M32),0)</f>
        <v>0</v>
      </c>
      <c r="J25" s="415" t="str">
        <f>Q25</f>
        <v>Investeringsaftrek (2023)</v>
      </c>
      <c r="K25" s="415"/>
      <c r="L25" s="415"/>
      <c r="M25" s="101"/>
      <c r="P25" s="103">
        <f>ROUNDUP(SUM(T28:T32),0)</f>
        <v>0</v>
      </c>
      <c r="Q25" s="415" t="s">
        <v>1069</v>
      </c>
      <c r="R25" s="415"/>
      <c r="S25" s="415"/>
      <c r="T25" s="101"/>
    </row>
    <row r="26" spans="1:20" ht="15.75" thickBot="1" x14ac:dyDescent="0.3">
      <c r="A26" s="79" t="s">
        <v>998</v>
      </c>
      <c r="B26" s="166">
        <f>B23*B25</f>
        <v>0</v>
      </c>
      <c r="C26" s="166">
        <f>C23*C25</f>
        <v>0</v>
      </c>
      <c r="D26" s="166">
        <f>D23*D25</f>
        <v>0</v>
      </c>
      <c r="E26" s="167">
        <f>E23*E25</f>
        <v>0</v>
      </c>
      <c r="I26" s="104"/>
      <c r="J26" s="416" t="s">
        <v>1005</v>
      </c>
      <c r="K26" s="416"/>
      <c r="L26" s="105" t="s">
        <v>999</v>
      </c>
      <c r="M26" s="101"/>
      <c r="P26" s="104"/>
      <c r="Q26" s="416" t="s">
        <v>1005</v>
      </c>
      <c r="R26" s="416"/>
      <c r="S26" s="105" t="s">
        <v>999</v>
      </c>
      <c r="T26" s="101"/>
    </row>
    <row r="27" spans="1:20" ht="15.75" thickTop="1" x14ac:dyDescent="0.25">
      <c r="A27" s="168"/>
      <c r="B27" s="169"/>
      <c r="C27" s="169"/>
      <c r="D27" s="169"/>
      <c r="E27" s="169"/>
      <c r="I27" s="104"/>
      <c r="J27" s="148" t="s">
        <v>1000</v>
      </c>
      <c r="K27" s="148" t="s">
        <v>1001</v>
      </c>
      <c r="L27" s="148"/>
      <c r="M27" s="101"/>
      <c r="P27" s="104"/>
      <c r="Q27" s="148" t="s">
        <v>1000</v>
      </c>
      <c r="R27" s="148" t="s">
        <v>1001</v>
      </c>
      <c r="S27" s="148"/>
      <c r="T27" s="101"/>
    </row>
    <row r="28" spans="1:20" ht="13.5" thickBot="1" x14ac:dyDescent="0.25">
      <c r="I28" s="104"/>
      <c r="J28" s="110">
        <f t="shared" ref="J28:J32" si="4">Q28</f>
        <v>0</v>
      </c>
      <c r="K28" s="110">
        <f t="shared" ref="K28:K31" si="5">R28</f>
        <v>2600</v>
      </c>
      <c r="L28" s="109">
        <f t="shared" ref="L28:L32" si="6">S28</f>
        <v>0</v>
      </c>
      <c r="M28" s="107">
        <f>IF(AND(J$3&gt;=J28,J$3&lt;K28),L28*J$3,0)</f>
        <v>0</v>
      </c>
      <c r="P28" s="104"/>
      <c r="Q28" s="110">
        <v>0</v>
      </c>
      <c r="R28" s="110">
        <v>2600</v>
      </c>
      <c r="S28" s="109">
        <v>0</v>
      </c>
      <c r="T28" s="107">
        <f>IF(AND(Q$3&gt;=Q28,Q$3&lt;R28),S28*Q$3,0)</f>
        <v>0</v>
      </c>
    </row>
    <row r="29" spans="1:20" ht="15.75" thickTop="1" x14ac:dyDescent="0.25">
      <c r="A29" s="82" t="s">
        <v>1075</v>
      </c>
      <c r="B29" s="83"/>
      <c r="C29" s="83"/>
      <c r="D29" s="83"/>
      <c r="E29" s="84"/>
      <c r="I29" s="104"/>
      <c r="J29" s="106">
        <f t="shared" si="4"/>
        <v>2600</v>
      </c>
      <c r="K29" s="106">
        <f t="shared" si="5"/>
        <v>63716</v>
      </c>
      <c r="L29" s="109">
        <f t="shared" si="6"/>
        <v>0.28000000000000003</v>
      </c>
      <c r="M29" s="107">
        <f>IF(AND(J$3&gt;=J29,J$3&lt;K29),L29*J$3,0)</f>
        <v>0</v>
      </c>
      <c r="P29" s="104"/>
      <c r="Q29" s="106">
        <f>R28</f>
        <v>2600</v>
      </c>
      <c r="R29" s="106">
        <v>63716</v>
      </c>
      <c r="S29" s="109">
        <v>0.28000000000000003</v>
      </c>
      <c r="T29" s="107">
        <f>IF(AND(Q$3&gt;=Q29,Q$3&lt;R29),S29*Q$3,0)</f>
        <v>0</v>
      </c>
    </row>
    <row r="30" spans="1:20" ht="15" x14ac:dyDescent="0.25">
      <c r="A30" s="72" t="s">
        <v>1002</v>
      </c>
      <c r="B30" s="85">
        <v>0.19</v>
      </c>
      <c r="C30" s="86">
        <v>0.25800000000000001</v>
      </c>
      <c r="D30" s="85"/>
      <c r="E30" s="87"/>
      <c r="I30" s="104"/>
      <c r="J30" s="106">
        <f t="shared" si="4"/>
        <v>63716</v>
      </c>
      <c r="K30" s="106">
        <f t="shared" si="5"/>
        <v>117991</v>
      </c>
      <c r="L30" s="106">
        <f t="shared" si="6"/>
        <v>17841</v>
      </c>
      <c r="M30" s="107">
        <f>IF(AND(J$3&gt;=J30,J$3&lt;K30),L30,0)</f>
        <v>0</v>
      </c>
      <c r="P30" s="104"/>
      <c r="Q30" s="106">
        <f>R29</f>
        <v>63716</v>
      </c>
      <c r="R30" s="106">
        <v>117991</v>
      </c>
      <c r="S30" s="106">
        <v>17841</v>
      </c>
      <c r="T30" s="107">
        <f>IF(AND(Q$3&gt;=Q30,Q$3&lt;R30),S30,0)</f>
        <v>0</v>
      </c>
    </row>
    <row r="31" spans="1:20" ht="15.75" thickBot="1" x14ac:dyDescent="0.3">
      <c r="A31" s="88" t="s">
        <v>1003</v>
      </c>
      <c r="B31" s="80">
        <v>200000</v>
      </c>
      <c r="C31" s="80"/>
      <c r="D31" s="80"/>
      <c r="E31" s="81"/>
      <c r="I31" s="104"/>
      <c r="J31" s="106">
        <f t="shared" si="4"/>
        <v>117991</v>
      </c>
      <c r="K31" s="106">
        <f t="shared" si="5"/>
        <v>353973</v>
      </c>
      <c r="L31" s="109">
        <f t="shared" si="6"/>
        <v>7.5600000000000001E-2</v>
      </c>
      <c r="M31" s="107">
        <f>IF(AND(J$3&gt;=J31,J$3&lt;K31),L30-((J$3-100000)*L31),0)</f>
        <v>0</v>
      </c>
      <c r="P31" s="104"/>
      <c r="Q31" s="106">
        <f>R30</f>
        <v>117991</v>
      </c>
      <c r="R31" s="106">
        <v>353973</v>
      </c>
      <c r="S31" s="109">
        <v>7.5600000000000001E-2</v>
      </c>
      <c r="T31" s="107">
        <f>IF(AND(Q$3&gt;=Q31,Q$3&lt;R31),S30-((Q$3-100000)*S31),0)</f>
        <v>0</v>
      </c>
    </row>
    <row r="32" spans="1:20" ht="14.25" thickTop="1" thickBot="1" x14ac:dyDescent="0.25">
      <c r="I32" s="104"/>
      <c r="J32" s="106">
        <f t="shared" si="4"/>
        <v>353973</v>
      </c>
      <c r="K32" s="106"/>
      <c r="L32" s="109">
        <f t="shared" si="6"/>
        <v>0</v>
      </c>
      <c r="M32" s="107">
        <f>IF(J$3&gt;=J32,J$3*L32,0)</f>
        <v>0</v>
      </c>
      <c r="P32" s="104"/>
      <c r="Q32" s="106">
        <f>R31</f>
        <v>353973</v>
      </c>
      <c r="R32" s="106"/>
      <c r="S32" s="109">
        <v>0</v>
      </c>
      <c r="T32" s="107">
        <f>IF(Q$3&gt;=Q32,Q$3*S32,0)</f>
        <v>0</v>
      </c>
    </row>
    <row r="33" spans="1:21" ht="15.75" thickTop="1" x14ac:dyDescent="0.25">
      <c r="A33" s="68" t="s">
        <v>1076</v>
      </c>
      <c r="B33" s="69"/>
      <c r="C33" s="70"/>
      <c r="D33" s="70"/>
      <c r="E33" s="71"/>
      <c r="I33" s="104"/>
      <c r="J33" s="101"/>
      <c r="K33" s="101"/>
      <c r="L33" s="101"/>
      <c r="M33" s="101"/>
      <c r="P33" s="104"/>
      <c r="Q33" s="101"/>
      <c r="R33" s="101"/>
      <c r="S33" s="101"/>
      <c r="T33" s="101"/>
    </row>
    <row r="34" spans="1:21" ht="15" x14ac:dyDescent="0.25">
      <c r="A34" s="78" t="s">
        <v>750</v>
      </c>
      <c r="B34" s="76">
        <f>IF(G5&lt;0,0,IF(G5&lt;B31,G5,B31))</f>
        <v>0</v>
      </c>
      <c r="C34" s="76">
        <f>IF(ISBLANK(C31),IF(G5&lt;B31,0,G5-B31),IF(G5&lt;B31,0,IF(G5&lt;B31,G5-B31,C31-B31)))</f>
        <v>0</v>
      </c>
      <c r="D34" s="76">
        <f>IF(AND(ISBLANK(D31),ISBLANK(C31)),0,IF(ISBLANK(D31),IF(G5&lt;C31,0,G5-C31),IF(G5&lt;C31,0,IF(G5&lt;D31,G5-C31,D31-C31))))</f>
        <v>0</v>
      </c>
      <c r="E34" s="170">
        <f>IF(AND(ISBLANK(E31),ISBLANK(D31)),0,IF(ISBLANK(E31),IF(G5&lt;D31,0,G5-D31),IF(G5&lt;D31,0,IF(G5&lt;E31,G5-D31,E31-D31))))</f>
        <v>0</v>
      </c>
      <c r="I34" s="104"/>
      <c r="J34" s="415" t="str">
        <f>Q34</f>
        <v>MKB-winstvrijstelling (2023)</v>
      </c>
      <c r="K34" s="415"/>
      <c r="L34" s="415"/>
      <c r="M34" s="101"/>
      <c r="P34" s="104"/>
      <c r="Q34" s="415" t="s">
        <v>1070</v>
      </c>
      <c r="R34" s="415"/>
      <c r="S34" s="415"/>
      <c r="T34" s="101"/>
    </row>
    <row r="35" spans="1:21" ht="15.75" thickBot="1" x14ac:dyDescent="0.3">
      <c r="A35" s="79" t="s">
        <v>1076</v>
      </c>
      <c r="B35" s="166">
        <f>B34*B30</f>
        <v>0</v>
      </c>
      <c r="C35" s="166">
        <f>C34*C30</f>
        <v>0</v>
      </c>
      <c r="D35" s="166"/>
      <c r="E35" s="167"/>
      <c r="I35" s="104"/>
      <c r="J35" s="416" t="s">
        <v>1006</v>
      </c>
      <c r="K35" s="416"/>
      <c r="L35" s="105" t="s">
        <v>999</v>
      </c>
      <c r="M35" s="101"/>
      <c r="P35" s="104"/>
      <c r="Q35" s="416" t="s">
        <v>1006</v>
      </c>
      <c r="R35" s="416"/>
      <c r="S35" s="105" t="s">
        <v>999</v>
      </c>
      <c r="T35" s="101"/>
    </row>
    <row r="36" spans="1:21" ht="13.5" thickTop="1" x14ac:dyDescent="0.2">
      <c r="I36" s="103">
        <f>ROUNDUP(IF(J$2-I$6-I$11-I$16&lt;0,0,(J$2-I$6-I$11-I$16)*L$37),0)</f>
        <v>0</v>
      </c>
      <c r="J36" s="148" t="s">
        <v>1000</v>
      </c>
      <c r="K36" s="148" t="s">
        <v>1001</v>
      </c>
      <c r="L36" s="148"/>
      <c r="M36" s="101"/>
      <c r="P36" s="103">
        <f>ROUNDUP(IF(Q$2-P$6-P$11-P$16&lt;0,0,(Q$2-P$6-P$11-P$16)*S$37),0)</f>
        <v>0</v>
      </c>
      <c r="Q36" s="148" t="s">
        <v>1000</v>
      </c>
      <c r="R36" s="148" t="s">
        <v>1001</v>
      </c>
      <c r="S36" s="148"/>
      <c r="T36" s="101"/>
    </row>
    <row r="37" spans="1:21" x14ac:dyDescent="0.2">
      <c r="I37" s="98"/>
      <c r="J37" s="106">
        <f t="shared" ref="J37:L37" si="7">Q37</f>
        <v>0</v>
      </c>
      <c r="K37" s="106"/>
      <c r="L37" s="109">
        <f t="shared" si="7"/>
        <v>0.1331</v>
      </c>
      <c r="M37" s="111"/>
      <c r="P37" s="98"/>
      <c r="Q37" s="106">
        <v>0</v>
      </c>
      <c r="R37" s="106"/>
      <c r="S37" s="109">
        <v>0.1331</v>
      </c>
      <c r="T37" s="111"/>
    </row>
    <row r="38" spans="1:21" x14ac:dyDescent="0.2">
      <c r="I38" s="98"/>
      <c r="J38" s="91"/>
      <c r="K38" s="91"/>
      <c r="L38" s="91"/>
      <c r="M38" s="91"/>
      <c r="P38" s="98"/>
      <c r="Q38" s="91"/>
      <c r="R38" s="91"/>
      <c r="S38" s="91"/>
      <c r="T38" s="91"/>
    </row>
    <row r="39" spans="1:21" x14ac:dyDescent="0.2">
      <c r="I39" s="103">
        <f>ROUNDUP(SUM(L42:L44),0)</f>
        <v>0</v>
      </c>
      <c r="J39" s="415" t="str">
        <f>Q39</f>
        <v>Heffingskorting (2023)</v>
      </c>
      <c r="K39" s="415"/>
      <c r="L39" s="415"/>
      <c r="P39" s="103">
        <f>ROUNDUP(SUM(S42:S44),0)</f>
        <v>0</v>
      </c>
      <c r="Q39" s="415" t="s">
        <v>1072</v>
      </c>
      <c r="R39" s="415"/>
      <c r="S39" s="415"/>
      <c r="T39"/>
    </row>
    <row r="40" spans="1:21" x14ac:dyDescent="0.2">
      <c r="J40" s="416" t="s">
        <v>750</v>
      </c>
      <c r="K40" s="416"/>
      <c r="L40" s="105" t="s">
        <v>1007</v>
      </c>
      <c r="Q40" s="416" t="s">
        <v>750</v>
      </c>
      <c r="R40" s="416"/>
      <c r="S40" s="105" t="s">
        <v>1007</v>
      </c>
    </row>
    <row r="41" spans="1:21" x14ac:dyDescent="0.2">
      <c r="J41" s="148" t="s">
        <v>1000</v>
      </c>
      <c r="K41" s="148" t="s">
        <v>1001</v>
      </c>
      <c r="L41" s="148"/>
      <c r="Q41" s="148" t="s">
        <v>1000</v>
      </c>
      <c r="R41" s="148" t="s">
        <v>1001</v>
      </c>
      <c r="S41" s="148"/>
    </row>
    <row r="42" spans="1:21" x14ac:dyDescent="0.2">
      <c r="J42" s="110">
        <f t="shared" ref="J42:J44" si="8">Q42</f>
        <v>0</v>
      </c>
      <c r="K42" s="110">
        <f t="shared" ref="K42:K43" si="9">R42</f>
        <v>24813</v>
      </c>
      <c r="L42" s="106">
        <f>IF(AND($C$4&gt;J42,$C$4&lt;K42),M42,0)</f>
        <v>0</v>
      </c>
      <c r="M42" s="107">
        <f t="shared" ref="M42:N44" si="10">T42</f>
        <v>3362</v>
      </c>
      <c r="N42" s="90">
        <f t="shared" si="10"/>
        <v>0</v>
      </c>
      <c r="Q42" s="110">
        <v>0</v>
      </c>
      <c r="R42" s="110">
        <v>24813</v>
      </c>
      <c r="S42" s="106">
        <f>IF(AND($C$4&gt;Q42,$C$4&lt;R42),T42,0)</f>
        <v>0</v>
      </c>
      <c r="T42" s="107">
        <v>3362</v>
      </c>
      <c r="U42" s="90"/>
    </row>
    <row r="43" spans="1:21" x14ac:dyDescent="0.2">
      <c r="J43" s="106">
        <f t="shared" si="8"/>
        <v>24813</v>
      </c>
      <c r="K43" s="106">
        <f t="shared" si="9"/>
        <v>75518</v>
      </c>
      <c r="L43" s="106">
        <f>IF(AND($C$4&gt;=J43,$C$4&lt;K43),M43-N43*($C$4-J43),0)</f>
        <v>0</v>
      </c>
      <c r="M43" s="107">
        <f t="shared" si="10"/>
        <v>3362</v>
      </c>
      <c r="N43" s="90">
        <f t="shared" si="10"/>
        <v>6.6299999999999998E-2</v>
      </c>
      <c r="Q43" s="106">
        <f>R42</f>
        <v>24813</v>
      </c>
      <c r="R43" s="106">
        <v>75518</v>
      </c>
      <c r="S43" s="106">
        <f>IF(AND($B$4&gt;=Q43,$B$4&lt;R43),T43-U43*($B$4-Q43),0)</f>
        <v>0</v>
      </c>
      <c r="T43" s="107">
        <v>3362</v>
      </c>
      <c r="U43" s="90">
        <v>6.6299999999999998E-2</v>
      </c>
    </row>
    <row r="44" spans="1:21" x14ac:dyDescent="0.2">
      <c r="J44" s="106">
        <f t="shared" si="8"/>
        <v>75518</v>
      </c>
      <c r="K44" s="106"/>
      <c r="L44" s="106">
        <f>IF($C$4&gt;=J44,M44,0)</f>
        <v>0</v>
      </c>
      <c r="M44" s="107">
        <f t="shared" si="10"/>
        <v>0</v>
      </c>
      <c r="N44" s="90">
        <f t="shared" si="10"/>
        <v>0</v>
      </c>
      <c r="Q44" s="106">
        <f>R43</f>
        <v>75518</v>
      </c>
      <c r="R44" s="106"/>
      <c r="S44" s="106">
        <f>IF($B$4&gt;=Q44,T44,0)</f>
        <v>0</v>
      </c>
      <c r="T44" s="107">
        <v>0</v>
      </c>
      <c r="U44" s="90"/>
    </row>
    <row r="45" spans="1:21" x14ac:dyDescent="0.2">
      <c r="J45" s="90"/>
      <c r="K45" s="90"/>
      <c r="L45" s="90"/>
      <c r="Q45" s="90"/>
      <c r="R45" s="90"/>
      <c r="S45" s="90"/>
    </row>
    <row r="46" spans="1:21" x14ac:dyDescent="0.2">
      <c r="I46" s="103">
        <f>ROUNDUP(SUM(L49:L53),0)</f>
        <v>0</v>
      </c>
      <c r="J46" s="415" t="str">
        <f>Q46</f>
        <v>Arbeidskorting (2023)</v>
      </c>
      <c r="K46" s="415"/>
      <c r="L46" s="415"/>
      <c r="P46" s="103">
        <f>ROUNDUP(SUM(S49:S53),0)</f>
        <v>0</v>
      </c>
      <c r="Q46" s="415" t="s">
        <v>1073</v>
      </c>
      <c r="R46" s="415"/>
      <c r="S46" s="415"/>
      <c r="T46"/>
    </row>
    <row r="47" spans="1:21" x14ac:dyDescent="0.2">
      <c r="J47" s="416" t="s">
        <v>750</v>
      </c>
      <c r="K47" s="416"/>
      <c r="L47" s="105" t="s">
        <v>1007</v>
      </c>
      <c r="Q47" s="416" t="s">
        <v>750</v>
      </c>
      <c r="R47" s="416"/>
      <c r="S47" s="105" t="s">
        <v>1007</v>
      </c>
    </row>
    <row r="48" spans="1:21" x14ac:dyDescent="0.2">
      <c r="J48" s="148" t="s">
        <v>1000</v>
      </c>
      <c r="K48" s="148" t="s">
        <v>1001</v>
      </c>
      <c r="L48" s="148"/>
      <c r="Q48" s="148" t="s">
        <v>1000</v>
      </c>
      <c r="R48" s="148" t="s">
        <v>1001</v>
      </c>
      <c r="S48" s="148"/>
    </row>
    <row r="49" spans="9:21" x14ac:dyDescent="0.2">
      <c r="J49" s="110">
        <f t="shared" ref="J49:J53" si="11">Q49</f>
        <v>0</v>
      </c>
      <c r="K49" s="110">
        <f t="shared" ref="K49:K52" si="12">R49</f>
        <v>11491</v>
      </c>
      <c r="L49" s="106">
        <f>IF(AND(J2&gt;J49,J2&lt;K49),N49*J2,0)</f>
        <v>0</v>
      </c>
      <c r="M49" s="107">
        <f>T49</f>
        <v>0</v>
      </c>
      <c r="N49" s="90">
        <f t="shared" ref="N49:N53" si="13">U49</f>
        <v>8.4250000000000005E-2</v>
      </c>
      <c r="Q49" s="110">
        <v>0</v>
      </c>
      <c r="R49" s="110">
        <v>11491</v>
      </c>
      <c r="S49" s="106">
        <f>IF(AND(Q2&gt;Q49,Q2&lt;R49),U49*Q2,0)</f>
        <v>0</v>
      </c>
      <c r="T49" s="107"/>
      <c r="U49" s="90">
        <v>8.4250000000000005E-2</v>
      </c>
    </row>
    <row r="50" spans="9:21" x14ac:dyDescent="0.2">
      <c r="J50" s="106">
        <f t="shared" si="11"/>
        <v>11491</v>
      </c>
      <c r="K50" s="106">
        <f t="shared" si="12"/>
        <v>24851</v>
      </c>
      <c r="L50" s="106">
        <f>IF(AND(J2&gt;=J50,J2&lt;K50),M50+N50*(J2-J50),0)</f>
        <v>0</v>
      </c>
      <c r="M50" s="107">
        <f t="shared" ref="M50:M53" si="14">T50</f>
        <v>968</v>
      </c>
      <c r="N50" s="90">
        <f t="shared" si="13"/>
        <v>0.31433</v>
      </c>
      <c r="Q50" s="106">
        <f>R49</f>
        <v>11491</v>
      </c>
      <c r="R50" s="106">
        <v>24851</v>
      </c>
      <c r="S50" s="106">
        <f>IF(AND(Q2&gt;=Q50,Q2&lt;R50),T50+U50*(Q2-Q50),0)</f>
        <v>0</v>
      </c>
      <c r="T50" s="107">
        <v>968</v>
      </c>
      <c r="U50" s="90">
        <v>0.31433</v>
      </c>
    </row>
    <row r="51" spans="9:21" x14ac:dyDescent="0.2">
      <c r="J51" s="106">
        <f t="shared" si="11"/>
        <v>24851</v>
      </c>
      <c r="K51" s="106">
        <f t="shared" si="12"/>
        <v>39958</v>
      </c>
      <c r="L51" s="106">
        <f>IF(AND(J2&gt;=J51,J2&lt;K51),M51,0)</f>
        <v>0</v>
      </c>
      <c r="M51" s="107">
        <f t="shared" si="14"/>
        <v>5158</v>
      </c>
      <c r="N51" s="90">
        <f t="shared" si="13"/>
        <v>2.4709999999999999E-2</v>
      </c>
      <c r="Q51" s="106">
        <f>R50</f>
        <v>24851</v>
      </c>
      <c r="R51" s="106">
        <v>39958</v>
      </c>
      <c r="S51" s="106">
        <f>IF(AND(Q2&gt;=Q51,Q2&lt;R51),T51+U51*(Q2-Q51),0)</f>
        <v>0</v>
      </c>
      <c r="T51" s="107">
        <v>5158</v>
      </c>
      <c r="U51" s="90">
        <v>2.4709999999999999E-2</v>
      </c>
    </row>
    <row r="52" spans="9:21" x14ac:dyDescent="0.2">
      <c r="J52" s="106">
        <f t="shared" si="11"/>
        <v>39958</v>
      </c>
      <c r="K52" s="106">
        <f t="shared" si="12"/>
        <v>124935</v>
      </c>
      <c r="L52" s="106">
        <f>IF(AND(J2&gt;=J52,J2&lt;K52),M52-N52*(J2-J52),0)</f>
        <v>0</v>
      </c>
      <c r="M52" s="107">
        <f t="shared" si="14"/>
        <v>5532</v>
      </c>
      <c r="N52" s="90">
        <f t="shared" si="13"/>
        <v>6.5100000000000005E-2</v>
      </c>
      <c r="Q52" s="106">
        <f>R51</f>
        <v>39958</v>
      </c>
      <c r="R52" s="106">
        <v>124935</v>
      </c>
      <c r="S52" s="106">
        <f>IF(AND(Q2&gt;=Q52,Q2&lt;R52),T52-U52*(Q2-Q52),0)</f>
        <v>0</v>
      </c>
      <c r="T52" s="107">
        <v>5532</v>
      </c>
      <c r="U52" s="90">
        <v>6.5100000000000005E-2</v>
      </c>
    </row>
    <row r="53" spans="9:21" x14ac:dyDescent="0.2">
      <c r="J53" s="106">
        <f t="shared" si="11"/>
        <v>124935</v>
      </c>
      <c r="K53" s="106"/>
      <c r="L53" s="106">
        <f>IF(J2&gt;=J53,M53,0)</f>
        <v>0</v>
      </c>
      <c r="M53" s="107">
        <f t="shared" si="14"/>
        <v>0</v>
      </c>
      <c r="N53" s="90">
        <f t="shared" si="13"/>
        <v>0</v>
      </c>
      <c r="Q53" s="106">
        <f>R52</f>
        <v>124935</v>
      </c>
      <c r="R53" s="106"/>
      <c r="S53" s="106">
        <f>IF(Q2&gt;=Q53,T53,0)</f>
        <v>0</v>
      </c>
      <c r="T53" s="107">
        <v>0</v>
      </c>
      <c r="U53" s="90"/>
    </row>
    <row r="55" spans="9:21" x14ac:dyDescent="0.2">
      <c r="I55" s="103">
        <f>ROUNDDOWN(SUM(M58:M59),0)</f>
        <v>0</v>
      </c>
      <c r="J55" s="415" t="str">
        <f>Q55</f>
        <v>Inkomensafhankelijke bijdrage Zvw</v>
      </c>
      <c r="K55" s="415"/>
      <c r="L55" s="415"/>
      <c r="P55" s="103">
        <f>ROUNDDOWN(SUM(T58:T59),0)</f>
        <v>0</v>
      </c>
      <c r="Q55" s="415" t="s">
        <v>1103</v>
      </c>
      <c r="R55" s="415"/>
      <c r="S55" s="415"/>
    </row>
    <row r="56" spans="9:21" x14ac:dyDescent="0.2">
      <c r="J56" s="416" t="str">
        <f>Q56</f>
        <v>Belastbaar inkomen</v>
      </c>
      <c r="K56" s="416"/>
      <c r="L56" s="105" t="str">
        <f>S56</f>
        <v>Bijdrage</v>
      </c>
      <c r="Q56" s="416" t="s">
        <v>750</v>
      </c>
      <c r="R56" s="416"/>
      <c r="S56" s="105" t="s">
        <v>1104</v>
      </c>
    </row>
    <row r="57" spans="9:21" x14ac:dyDescent="0.2">
      <c r="J57" s="148" t="str">
        <f>Q57</f>
        <v>van</v>
      </c>
      <c r="K57" s="148" t="str">
        <f>R57</f>
        <v>tot</v>
      </c>
      <c r="L57" s="148"/>
      <c r="Q57" s="148" t="s">
        <v>1000</v>
      </c>
      <c r="R57" s="148" t="s">
        <v>1001</v>
      </c>
      <c r="S57" s="148"/>
    </row>
    <row r="58" spans="9:21" x14ac:dyDescent="0.2">
      <c r="J58" s="110">
        <f>Q58</f>
        <v>0</v>
      </c>
      <c r="K58" s="110">
        <f t="shared" ref="K58:L59" si="15">R58</f>
        <v>71628</v>
      </c>
      <c r="L58" s="174">
        <f t="shared" si="15"/>
        <v>5.3199999999999997E-2</v>
      </c>
      <c r="M58" s="107">
        <f>IF(AND(C4&gt;=J58,C4&lt;K58),L58*C4,IF(C4&gt;K58,K58*L58,0))</f>
        <v>0</v>
      </c>
      <c r="N58" s="171"/>
      <c r="Q58" s="110">
        <v>0</v>
      </c>
      <c r="R58" s="110">
        <v>71628</v>
      </c>
      <c r="S58" s="173">
        <v>5.3199999999999997E-2</v>
      </c>
      <c r="T58" s="107">
        <f>IF(AND(B4&gt;=Q58,B4&lt;R58),S58*B4,IF(B4&gt;R58,R58*S58,0))</f>
        <v>0</v>
      </c>
    </row>
    <row r="59" spans="9:21" x14ac:dyDescent="0.2">
      <c r="J59" s="110">
        <f>Q59</f>
        <v>66956</v>
      </c>
      <c r="K59" s="110">
        <f t="shared" si="15"/>
        <v>0</v>
      </c>
      <c r="L59" s="174">
        <f t="shared" si="15"/>
        <v>0</v>
      </c>
      <c r="M59" s="107">
        <f>IF(J$2&gt;=J59,J$2*L59,0)</f>
        <v>0</v>
      </c>
      <c r="Q59" s="110">
        <v>66956</v>
      </c>
      <c r="R59" s="110"/>
      <c r="S59" s="173">
        <v>0</v>
      </c>
      <c r="T59" s="107">
        <f>IF(Q$2&gt;=Q59,Q$2*S59,0)</f>
        <v>0</v>
      </c>
    </row>
    <row r="61" spans="9:21" x14ac:dyDescent="0.2">
      <c r="I61" s="103">
        <f>ROUNDDOWN(IF(J2&gt;B14,MIN(J2-B14,J4),0)*L64,0)</f>
        <v>0</v>
      </c>
      <c r="J61" s="415" t="str">
        <f>Q61</f>
        <v>Tariefsaanpassing aftrekposten</v>
      </c>
      <c r="K61" s="415"/>
      <c r="L61" s="415"/>
      <c r="O61" s="172"/>
      <c r="P61" s="103">
        <f>ROUNDDOWN(IF(Q2&gt;B14,MIN(Q2-B14,Q4),0)*S64,0)</f>
        <v>0</v>
      </c>
      <c r="Q61" s="415" t="s">
        <v>1106</v>
      </c>
      <c r="R61" s="415"/>
      <c r="S61" s="415"/>
    </row>
    <row r="62" spans="9:21" x14ac:dyDescent="0.2">
      <c r="J62" s="416" t="str">
        <f>Q62</f>
        <v>Belastbaar inkomen</v>
      </c>
      <c r="K62" s="416"/>
      <c r="L62" s="105" t="str">
        <f>S62</f>
        <v>Aftrek</v>
      </c>
      <c r="Q62" s="416" t="s">
        <v>750</v>
      </c>
      <c r="R62" s="416"/>
      <c r="S62" s="105" t="s">
        <v>999</v>
      </c>
    </row>
    <row r="63" spans="9:21" x14ac:dyDescent="0.2">
      <c r="J63" s="148" t="str">
        <f>Q63</f>
        <v>van</v>
      </c>
      <c r="K63" s="148" t="str">
        <f>R63</f>
        <v>tot</v>
      </c>
      <c r="L63" s="148"/>
      <c r="Q63" s="148" t="s">
        <v>1000</v>
      </c>
      <c r="R63" s="148" t="s">
        <v>1001</v>
      </c>
      <c r="S63" s="148"/>
    </row>
    <row r="64" spans="9:21" x14ac:dyDescent="0.2">
      <c r="J64" s="110">
        <f>Q64</f>
        <v>0</v>
      </c>
      <c r="K64" s="110">
        <f t="shared" ref="K64:L64" si="16">R64</f>
        <v>0</v>
      </c>
      <c r="L64" s="174">
        <f t="shared" si="16"/>
        <v>0.12529999999999999</v>
      </c>
      <c r="Q64" s="110">
        <v>0</v>
      </c>
      <c r="R64" s="110"/>
      <c r="S64" s="173">
        <v>0.12529999999999999</v>
      </c>
      <c r="T64" s="171"/>
    </row>
  </sheetData>
  <sheetProtection algorithmName="SHA-512" hashValue="dNWHb4VJDcNWwcMwfuMS4GreHzeXrQCrN6dyWRKhaID/66mdd7Fw/vJ1891bCJJ+US5ZOSf5kmo5EKU7WGjC/A==" saltValue="ChKA+GNd4mvC0GROGb1heQ==" spinCount="100000" sheet="1" objects="1" scenarios="1"/>
  <mergeCells count="36">
    <mergeCell ref="Q61:S61"/>
    <mergeCell ref="Q62:R62"/>
    <mergeCell ref="J61:L61"/>
    <mergeCell ref="J62:K62"/>
    <mergeCell ref="J55:L55"/>
    <mergeCell ref="J56:K56"/>
    <mergeCell ref="Q55:S55"/>
    <mergeCell ref="Q56:R56"/>
    <mergeCell ref="J47:K47"/>
    <mergeCell ref="J39:L39"/>
    <mergeCell ref="J40:K40"/>
    <mergeCell ref="J46:L46"/>
    <mergeCell ref="J17:K17"/>
    <mergeCell ref="J25:L25"/>
    <mergeCell ref="J26:K26"/>
    <mergeCell ref="J34:L34"/>
    <mergeCell ref="J35:K35"/>
    <mergeCell ref="J6:L6"/>
    <mergeCell ref="J7:K7"/>
    <mergeCell ref="J11:L11"/>
    <mergeCell ref="J12:K12"/>
    <mergeCell ref="J16:L16"/>
    <mergeCell ref="Q17:R17"/>
    <mergeCell ref="Q39:S39"/>
    <mergeCell ref="Q40:R40"/>
    <mergeCell ref="Q46:S46"/>
    <mergeCell ref="Q47:R47"/>
    <mergeCell ref="Q25:S25"/>
    <mergeCell ref="Q26:R26"/>
    <mergeCell ref="Q34:S34"/>
    <mergeCell ref="Q35:R35"/>
    <mergeCell ref="Q6:S6"/>
    <mergeCell ref="Q7:R7"/>
    <mergeCell ref="Q11:S11"/>
    <mergeCell ref="Q12:R12"/>
    <mergeCell ref="Q16:S16"/>
  </mergeCell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pageSetUpPr fitToPage="1"/>
  </sheetPr>
  <dimension ref="A1:AI110"/>
  <sheetViews>
    <sheetView zoomScaleNormal="100" workbookViewId="0">
      <selection activeCell="B7" sqref="B7"/>
    </sheetView>
  </sheetViews>
  <sheetFormatPr defaultColWidth="3.140625" defaultRowHeight="15" x14ac:dyDescent="0.2"/>
  <cols>
    <col min="1" max="1" width="3.5703125" style="1" customWidth="1"/>
    <col min="2" max="2" width="125" style="1" customWidth="1"/>
    <col min="3" max="3" width="3.5703125" style="1" customWidth="1"/>
    <col min="4" max="255" width="9.140625" style="1" customWidth="1"/>
    <col min="256" max="16384" width="3.140625" style="1"/>
  </cols>
  <sheetData>
    <row r="1" spans="1:35" s="3" customFormat="1" ht="93" customHeight="1" x14ac:dyDescent="0.25">
      <c r="A1" s="1"/>
      <c r="B1" s="2" t="s">
        <v>2</v>
      </c>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x14ac:dyDescent="0.2">
      <c r="A2" s="10"/>
      <c r="B2" s="4"/>
      <c r="C2" s="10"/>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row>
    <row r="3" spans="1:35" x14ac:dyDescent="0.2">
      <c r="A3" s="10"/>
      <c r="B3" s="4" t="s">
        <v>3</v>
      </c>
      <c r="C3" s="10"/>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1:35" x14ac:dyDescent="0.2">
      <c r="A4" s="10"/>
      <c r="B4" s="4"/>
      <c r="C4" s="10"/>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spans="1:35" ht="30" customHeight="1" x14ac:dyDescent="0.2">
      <c r="A5" s="10"/>
      <c r="B5" s="57" t="s">
        <v>4</v>
      </c>
      <c r="C5" s="41"/>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row>
    <row r="6" spans="1:35" ht="30" x14ac:dyDescent="0.2">
      <c r="A6" s="10"/>
      <c r="B6" s="58" t="s">
        <v>5</v>
      </c>
      <c r="C6" s="42"/>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row>
    <row r="7" spans="1:35" ht="18" customHeight="1" x14ac:dyDescent="0.2">
      <c r="A7" s="10"/>
      <c r="B7" s="7" t="s">
        <v>6</v>
      </c>
      <c r="C7" s="42"/>
      <c r="D7" s="46"/>
      <c r="E7" s="47"/>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row>
    <row r="8" spans="1:35" ht="18" customHeight="1" x14ac:dyDescent="0.2">
      <c r="A8" s="10"/>
      <c r="B8" s="7" t="s">
        <v>7</v>
      </c>
      <c r="C8" s="43"/>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row>
    <row r="9" spans="1:35" ht="18" customHeight="1" x14ac:dyDescent="0.2">
      <c r="A9" s="10"/>
      <c r="B9" s="7" t="s">
        <v>8</v>
      </c>
      <c r="C9" s="42"/>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row>
    <row r="10" spans="1:35" ht="18" customHeight="1" x14ac:dyDescent="0.2">
      <c r="A10" s="10"/>
      <c r="B10" s="7" t="s">
        <v>9</v>
      </c>
      <c r="C10" s="42"/>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row>
    <row r="11" spans="1:35" ht="14.25" customHeight="1" x14ac:dyDescent="0.2">
      <c r="A11" s="10"/>
      <c r="B11" s="8"/>
      <c r="C11" s="42"/>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1:35" ht="26.25" x14ac:dyDescent="0.2">
      <c r="A12" s="59"/>
      <c r="B12" s="60" t="s">
        <v>10</v>
      </c>
      <c r="C12" s="43"/>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1:35" x14ac:dyDescent="0.2">
      <c r="A13" s="59"/>
      <c r="B13" s="58" t="s">
        <v>11</v>
      </c>
      <c r="C13" s="42"/>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x14ac:dyDescent="0.2">
      <c r="A14" s="59"/>
      <c r="B14" s="62" t="s">
        <v>12</v>
      </c>
      <c r="C14" s="42"/>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35" x14ac:dyDescent="0.2">
      <c r="A15" s="59"/>
      <c r="B15" s="62" t="s">
        <v>13</v>
      </c>
      <c r="C15" s="43"/>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row>
    <row r="16" spans="1:35" x14ac:dyDescent="0.2">
      <c r="A16" s="59"/>
      <c r="B16" s="62" t="s">
        <v>14</v>
      </c>
      <c r="C16" s="42"/>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row>
    <row r="17" spans="1:35" ht="30" x14ac:dyDescent="0.2">
      <c r="A17" s="59"/>
      <c r="B17" s="62" t="s">
        <v>15</v>
      </c>
      <c r="C17" s="42"/>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row>
    <row r="18" spans="1:35" x14ac:dyDescent="0.2">
      <c r="A18" s="59"/>
      <c r="B18" s="62"/>
      <c r="C18" s="42"/>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1:35" ht="108" customHeight="1" x14ac:dyDescent="0.2">
      <c r="A19" s="59"/>
      <c r="B19" s="64" t="s">
        <v>16</v>
      </c>
      <c r="C19" s="10"/>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row>
    <row r="20" spans="1:35" x14ac:dyDescent="0.2">
      <c r="A20" s="59"/>
      <c r="B20" s="63"/>
      <c r="C20" s="10"/>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row>
    <row r="21" spans="1:35" ht="149.25" customHeight="1" x14ac:dyDescent="0.2">
      <c r="A21" s="59"/>
      <c r="B21" s="64" t="s">
        <v>17</v>
      </c>
      <c r="C21" s="41"/>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row>
    <row r="22" spans="1:35" ht="60" x14ac:dyDescent="0.2">
      <c r="A22" s="59"/>
      <c r="B22" s="58" t="s">
        <v>18</v>
      </c>
      <c r="C22" s="42"/>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row>
    <row r="23" spans="1:35" x14ac:dyDescent="0.2">
      <c r="A23" s="61"/>
      <c r="B23" s="58"/>
      <c r="C23" s="42"/>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5" ht="26.25" x14ac:dyDescent="0.2">
      <c r="A24" s="10"/>
      <c r="B24" s="9" t="s">
        <v>19</v>
      </c>
      <c r="C24" s="42"/>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5" x14ac:dyDescent="0.2">
      <c r="A25" s="10"/>
      <c r="B25" s="6" t="s">
        <v>20</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x14ac:dyDescent="0.2">
      <c r="A26" s="10"/>
      <c r="B26" s="10"/>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1:35" x14ac:dyDescent="0.2">
      <c r="A27" s="10"/>
      <c r="B27" s="10"/>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1:35" x14ac:dyDescent="0.2">
      <c r="A28" s="10"/>
      <c r="B28" s="10"/>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1:35" x14ac:dyDescent="0.2">
      <c r="A29" s="10"/>
      <c r="B29" s="10"/>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5" x14ac:dyDescent="0.2">
      <c r="A30" s="10"/>
      <c r="B30" s="10"/>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1:35" x14ac:dyDescent="0.2">
      <c r="A31" s="10"/>
      <c r="B31" s="10"/>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x14ac:dyDescent="0.2">
      <c r="A32" s="10"/>
      <c r="B32" s="10"/>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row>
    <row r="33" spans="1:35" x14ac:dyDescent="0.2">
      <c r="A33" s="10"/>
      <c r="B33" s="10"/>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x14ac:dyDescent="0.2">
      <c r="A34" s="10"/>
      <c r="B34" s="10"/>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x14ac:dyDescent="0.2">
      <c r="A35" s="10"/>
      <c r="B35" s="10"/>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1:35" x14ac:dyDescent="0.2">
      <c r="A36" s="10"/>
      <c r="B36" s="10"/>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x14ac:dyDescent="0.2">
      <c r="A37" s="10"/>
      <c r="B37" s="10"/>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1:35" ht="26.25" x14ac:dyDescent="0.2">
      <c r="A38" s="10"/>
      <c r="B38" s="5" t="s">
        <v>21</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5" x14ac:dyDescent="0.2">
      <c r="A39" s="10"/>
      <c r="B39" s="10" t="s">
        <v>22</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5" x14ac:dyDescent="0.2">
      <c r="A40" s="10"/>
      <c r="B40" s="10" t="s">
        <v>23</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x14ac:dyDescent="0.2">
      <c r="A41" s="10"/>
      <c r="B41" s="10"/>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ht="19.5" x14ac:dyDescent="0.2">
      <c r="A42" s="10"/>
      <c r="B42" s="120" t="s">
        <v>24</v>
      </c>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ht="21" x14ac:dyDescent="0.2">
      <c r="A43" s="10"/>
      <c r="B43" s="11"/>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5" x14ac:dyDescent="0.2">
      <c r="A44" s="10"/>
      <c r="B44" s="12"/>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5" ht="36" x14ac:dyDescent="0.2">
      <c r="A45" s="10"/>
      <c r="B45" s="13" t="s">
        <v>25</v>
      </c>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x14ac:dyDescent="0.2">
      <c r="A46" s="44" t="s">
        <v>26</v>
      </c>
      <c r="B46" s="10"/>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x14ac:dyDescent="0.2">
      <c r="A47" s="48"/>
      <c r="B47" s="48"/>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1:35"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1:35"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1:35"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1:35"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1:35"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1:35"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1:35"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1:35"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1:35"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1:35"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1:35"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1:35"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1:35"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1:35"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spans="1:35"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spans="1:35"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spans="1:35"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1:35"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1:35"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1:35" x14ac:dyDescent="0.2">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1:35" x14ac:dyDescent="0.2">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spans="1:35" x14ac:dyDescent="0.2">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spans="1:35" x14ac:dyDescent="0.2">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spans="1:35" x14ac:dyDescent="0.2">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spans="1:35"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spans="1:35" x14ac:dyDescent="0.2">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1:35" x14ac:dyDescent="0.2">
      <c r="A91" s="46"/>
      <c r="B91" s="46"/>
    </row>
    <row r="92" spans="1:35" x14ac:dyDescent="0.2">
      <c r="A92" s="46"/>
      <c r="B92" s="46"/>
    </row>
    <row r="93" spans="1:35" x14ac:dyDescent="0.2">
      <c r="A93" s="46"/>
      <c r="B93" s="46"/>
    </row>
    <row r="94" spans="1:35" x14ac:dyDescent="0.2">
      <c r="A94" s="46"/>
      <c r="B94" s="46"/>
    </row>
    <row r="95" spans="1:35" x14ac:dyDescent="0.2">
      <c r="A95" s="46"/>
      <c r="B95" s="46"/>
    </row>
    <row r="96" spans="1:35" x14ac:dyDescent="0.2">
      <c r="A96" s="46"/>
      <c r="B96" s="46"/>
    </row>
    <row r="97" spans="1:2" x14ac:dyDescent="0.2">
      <c r="A97" s="46"/>
      <c r="B97" s="46"/>
    </row>
    <row r="98" spans="1:2" x14ac:dyDescent="0.2">
      <c r="A98" s="46"/>
      <c r="B98" s="46"/>
    </row>
    <row r="99" spans="1:2" x14ac:dyDescent="0.2">
      <c r="A99" s="46"/>
      <c r="B99" s="46"/>
    </row>
    <row r="100" spans="1:2" x14ac:dyDescent="0.2">
      <c r="A100" s="46"/>
      <c r="B100" s="46"/>
    </row>
    <row r="101" spans="1:2" x14ac:dyDescent="0.2">
      <c r="A101" s="46"/>
      <c r="B101" s="46"/>
    </row>
    <row r="102" spans="1:2" x14ac:dyDescent="0.2">
      <c r="A102" s="46"/>
      <c r="B102" s="46"/>
    </row>
    <row r="103" spans="1:2" x14ac:dyDescent="0.2">
      <c r="A103" s="46"/>
      <c r="B103" s="46"/>
    </row>
    <row r="104" spans="1:2" x14ac:dyDescent="0.2">
      <c r="A104" s="46"/>
      <c r="B104" s="46"/>
    </row>
    <row r="105" spans="1:2" x14ac:dyDescent="0.2">
      <c r="A105" s="46"/>
      <c r="B105" s="46"/>
    </row>
    <row r="106" spans="1:2" x14ac:dyDescent="0.2">
      <c r="A106" s="46"/>
      <c r="B106" s="46"/>
    </row>
    <row r="107" spans="1:2" x14ac:dyDescent="0.2">
      <c r="A107" s="46"/>
      <c r="B107" s="46"/>
    </row>
    <row r="108" spans="1:2" x14ac:dyDescent="0.2">
      <c r="A108" s="46"/>
      <c r="B108" s="46"/>
    </row>
    <row r="109" spans="1:2" x14ac:dyDescent="0.2">
      <c r="A109" s="46"/>
      <c r="B109" s="46"/>
    </row>
    <row r="110" spans="1:2" x14ac:dyDescent="0.2">
      <c r="A110" s="46"/>
      <c r="B110" s="46"/>
    </row>
  </sheetData>
  <sheetProtection algorithmName="SHA-512" hashValue="tytXmkF10Eu1DSrq6G7WRkJBnrzx2xfRkH+b8OlQxVQ9bK1PVdZoSAB99hxae8QOeSy4Fu/ybTvPOQ4UltPAAg==" saltValue="LBvct6WG0YF9y517AJyxpA==" spinCount="100000" sheet="1" objects="1" scenarios="1" selectLockedCells="1"/>
  <hyperlinks>
    <hyperlink ref="B7" location="'Investering &amp; Financiering'!A1" display="    Investeringsbegroting" xr:uid="{00000000-0004-0000-0100-000000000000}"/>
    <hyperlink ref="B8" location="'Investering &amp; Financiering'!A1" display="    Financieringsbegroting" xr:uid="{00000000-0004-0000-0100-000001000000}"/>
    <hyperlink ref="B9" location="Exploitatie!A1" display="    Exploitatiebegroting" xr:uid="{00000000-0004-0000-0100-000002000000}"/>
    <hyperlink ref="B10" location="Liquiditeit!A1" display="    Liquiditeitsbegroting" xr:uid="{00000000-0004-0000-0100-000003000000}"/>
    <hyperlink ref="B14" location="VRAGENLIJST!A1" display="Het opstellen van dit financiële plan doe je door het beantwoorden van de vragen die worden gesteld op het tabblad VRAGENIJST" xr:uid="{00000000-0004-0000-0100-000004000000}"/>
    <hyperlink ref="B42" r:id="rId1" xr:uid="{00000000-0004-0000-0100-000005000000}"/>
  </hyperlinks>
  <pageMargins left="0.7" right="0.7" top="0.75" bottom="0.75" header="0.51180555555555551" footer="0.51180555555555551"/>
  <pageSetup paperSize="9" scale="91" firstPageNumber="0" fitToHeight="0" orientation="portrait" r:id="rId2"/>
  <headerFooter alignWithMargins="0"/>
  <colBreaks count="2" manualBreakCount="2">
    <brk id="1" max="1048575" man="1"/>
    <brk id="3"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232572"/>
    <pageSetUpPr fitToPage="1"/>
  </sheetPr>
  <dimension ref="A1:BM306"/>
  <sheetViews>
    <sheetView zoomScaleNormal="100" workbookViewId="0">
      <pane ySplit="9" topLeftCell="A10" activePane="bottomLeft" state="frozen"/>
      <selection activeCell="L31" sqref="L31"/>
      <selection pane="bottomLeft" activeCell="D4" sqref="D4"/>
    </sheetView>
  </sheetViews>
  <sheetFormatPr defaultColWidth="8.7109375" defaultRowHeight="15" x14ac:dyDescent="0.25"/>
  <cols>
    <col min="1" max="1" width="3.7109375" style="119" customWidth="1"/>
    <col min="2" max="2" width="66" style="22" customWidth="1"/>
    <col min="3" max="3" width="15.42578125" style="244" customWidth="1"/>
    <col min="4" max="4" width="15.7109375" style="227" customWidth="1"/>
    <col min="5" max="5" width="16.28515625" style="222" customWidth="1"/>
    <col min="6" max="6" width="15.7109375" style="223" customWidth="1"/>
    <col min="7" max="7" width="9.5703125" style="21" customWidth="1"/>
    <col min="8" max="8" width="3.5703125" style="34" customWidth="1"/>
    <col min="9" max="9" width="9.140625" style="31" customWidth="1"/>
    <col min="10" max="10" width="10.5703125" style="31" customWidth="1"/>
    <col min="11" max="36" width="9.140625" style="31" customWidth="1"/>
    <col min="37" max="49" width="9.140625" style="32" customWidth="1"/>
    <col min="50" max="62" width="8.7109375" style="33"/>
  </cols>
  <sheetData>
    <row r="1" spans="1:8" ht="93" customHeight="1" x14ac:dyDescent="0.2">
      <c r="A1" s="418"/>
      <c r="B1" s="418" t="str">
        <f>Vertaling!A26</f>
        <v>Vragenlijst financieel plan</v>
      </c>
      <c r="C1" s="219"/>
      <c r="D1" s="219"/>
      <c r="E1" s="219"/>
      <c r="F1" s="220"/>
      <c r="G1" s="49"/>
      <c r="H1" s="30"/>
    </row>
    <row r="3" spans="1:8" x14ac:dyDescent="0.25">
      <c r="B3" s="191" t="str">
        <f>Vertaling!A27</f>
        <v>Om mee te beginnen…</v>
      </c>
      <c r="C3" s="221"/>
      <c r="D3" s="215" t="str">
        <f>Vertaling!A30</f>
        <v>Antwoord:</v>
      </c>
    </row>
    <row r="4" spans="1:8" x14ac:dyDescent="0.25">
      <c r="A4" s="199" t="s">
        <v>27</v>
      </c>
      <c r="B4" s="204" t="str">
        <f>Vertaling!A28</f>
        <v>Welke rechtsvorm heeft je bedrijf?</v>
      </c>
      <c r="C4" s="216" t="str">
        <f>Vertaling!$A$31</f>
        <v>selecteer:</v>
      </c>
      <c r="D4" s="224"/>
    </row>
    <row r="5" spans="1:8" ht="7.5" customHeight="1" x14ac:dyDescent="0.25">
      <c r="A5" s="201"/>
      <c r="B5" s="204"/>
      <c r="C5" s="216"/>
      <c r="D5" s="216"/>
      <c r="G5" s="23"/>
    </row>
    <row r="6" spans="1:8" x14ac:dyDescent="0.25">
      <c r="A6" s="199"/>
      <c r="B6" s="204" t="str">
        <f>IF(OR(D4="Eenmanszaak",D4=""),"",Vertaling!A29)</f>
        <v/>
      </c>
      <c r="C6" s="216" t="str">
        <f>IF(OR(D4="Eenmanszaak",D4=""),"",Vertaling!$A$31)</f>
        <v/>
      </c>
      <c r="D6" s="224"/>
      <c r="E6" s="225" t="str">
        <f>IF(AND(OR(D4=dropdowns!B5,D4=dropdowns!C5),OR(D6=dropdowns!B9,D6=dropdowns!C9)),Vertaling!A32,"")</f>
        <v/>
      </c>
    </row>
    <row r="7" spans="1:8" ht="7.5" customHeight="1" x14ac:dyDescent="0.25">
      <c r="A7" s="201"/>
      <c r="B7" s="204"/>
      <c r="C7" s="216"/>
      <c r="D7" s="216"/>
      <c r="G7" s="23"/>
    </row>
    <row r="8" spans="1:8" x14ac:dyDescent="0.25">
      <c r="A8" s="201"/>
      <c r="B8" s="204"/>
      <c r="C8" s="226" t="str">
        <f>IF(AND(OR(VRAGENLIJST!$D$4=dropdowns!$A$5,VRAGENLIJST!$D$4=dropdowns!$A$6),VRAGENLIJST!D6="Twee"),Vertaling!A37,IF(AND(OR(VRAGENLIJST!$D$4=dropdowns!$A$5,VRAGENLIJST!$D$4=dropdowns!$A$6),VRAGENLIJST!$D$6=dropdowns!$A$11),Vertaling!A38,Vertaling!A39))</f>
        <v>Vul de antwoorden op de privévragen in bij kolom F.</v>
      </c>
      <c r="E8" s="216"/>
      <c r="F8" s="216"/>
      <c r="G8" s="118"/>
    </row>
    <row r="9" spans="1:8" ht="7.5" customHeight="1" x14ac:dyDescent="0.25">
      <c r="A9" s="201"/>
      <c r="B9" s="204"/>
      <c r="C9" s="216"/>
      <c r="D9" s="216"/>
      <c r="G9" s="23"/>
    </row>
    <row r="10" spans="1:8" x14ac:dyDescent="0.25">
      <c r="A10" s="201"/>
      <c r="B10" s="204"/>
      <c r="C10" s="221"/>
      <c r="D10" s="215" t="str">
        <f>IF(AND(OR(VRAGENLIJST!$D$4=dropdowns!$A$5,VRAGENLIJST!$D$4=dropdowns!$A$6),OR(OR(VRAGENLIJST!$D$6=dropdowns!$B$10,$D$6=dropdowns!$C$10),OR(VRAGENLIJST!$D$6=dropdowns!$B$11,VRAGENLIJST!$D$6=dropdowns!$C$11))),Vertaling!A41,"")</f>
        <v/>
      </c>
      <c r="E10" s="221"/>
      <c r="F10" s="215" t="str">
        <f>IF(AND(OR(OR(VRAGENLIJST!$D$4=dropdowns!$B$5,VRAGENLIJST!$D$4=dropdowns!$C$5,VRAGENLIJST!$D$4=dropdowns!$D$5,VRAGENLIJST!$D$4=dropdowns!$E$5),OR(VRAGENLIJST!$D$4=dropdowns!$B$6,VRAGENLIJST!$D$4=dropdowns!$C$6,VRAGENLIJST!$D$4=dropdowns!$D$6,VRAGENLIJST!$D$4=dropdowns!$E$6)),OR(OR(VRAGENLIJST!$D$6=dropdowns!$B$10,VRAGENLIJST!$D$6=dropdowns!$C$10,VRAGENLIJST!$D$6=dropdowns!$D$10,VRAGENLIJST!$D$6=dropdowns!$E$10),OR(VRAGENLIJST!$D$6=dropdowns!$B$11,VRAGENLIJST!$D$6=dropdowns!$C$11,VRAGENLIJST!$D$6=dropdowns!$D$11,VRAGENLIJST!$D$6=dropdowns!$E$11))),Vertaling!A42,Vertaling!A40)</f>
        <v>Ondernemer:</v>
      </c>
      <c r="G10" s="23"/>
    </row>
    <row r="11" spans="1:8" x14ac:dyDescent="0.25">
      <c r="A11" s="199"/>
      <c r="B11" s="204" t="str">
        <f>IF(D4="","",Vertaling!A43)</f>
        <v/>
      </c>
      <c r="C11" s="216" t="str">
        <f>IF($D$14="","",Vertaling!A35)</f>
        <v/>
      </c>
      <c r="D11" s="228"/>
      <c r="E11" s="216" t="str">
        <f>IF(D4="","",Vertaling!A36)</f>
        <v/>
      </c>
      <c r="F11" s="229">
        <f>IF(OR(D6=dropdowns!B9,VRAGENLIJST!D6=dropdowns!C9),1,1-D11)</f>
        <v>1</v>
      </c>
    </row>
    <row r="12" spans="1:8" ht="7.5" customHeight="1" x14ac:dyDescent="0.25">
      <c r="A12" s="201"/>
      <c r="B12" s="204"/>
      <c r="C12" s="216"/>
      <c r="D12" s="216"/>
      <c r="F12" s="230"/>
      <c r="G12" s="23"/>
    </row>
    <row r="13" spans="1:8" x14ac:dyDescent="0.25">
      <c r="A13" s="201"/>
      <c r="B13" s="204"/>
      <c r="C13" s="216"/>
      <c r="D13" s="216"/>
      <c r="E13" s="216"/>
      <c r="F13" s="216"/>
      <c r="G13" s="118"/>
    </row>
    <row r="14" spans="1:8" x14ac:dyDescent="0.25">
      <c r="B14" s="191" t="str">
        <f>Vertaling!A44</f>
        <v>Privé-inkomsten (maandelijks)</v>
      </c>
      <c r="C14" s="221"/>
      <c r="D14" s="215" t="str">
        <f>D10</f>
        <v/>
      </c>
      <c r="E14" s="221"/>
      <c r="F14" s="215" t="str">
        <f>F10</f>
        <v>Ondernemer:</v>
      </c>
    </row>
    <row r="15" spans="1:8" ht="25.5" x14ac:dyDescent="0.25">
      <c r="A15" s="199" t="str">
        <f>CONCATENATE(LEFT(A4,1)+1,".")</f>
        <v>2.</v>
      </c>
      <c r="B15" s="204" t="str">
        <f>Vertaling!A45</f>
        <v>Hoeveel salaris (uit loondienstverband) krijg je maandelijks op je rekening gestort?</v>
      </c>
      <c r="C15" s="216" t="str">
        <f>IF($D$14="","",Vertaling!$A$34)</f>
        <v/>
      </c>
      <c r="D15" s="231"/>
      <c r="E15" s="216" t="str">
        <f>Vertaling!A34</f>
        <v>vul nettobedrag in:</v>
      </c>
      <c r="F15" s="231"/>
    </row>
    <row r="16" spans="1:8" ht="7.5" customHeight="1" x14ac:dyDescent="0.25">
      <c r="A16" s="201"/>
      <c r="B16" s="204"/>
      <c r="C16" s="216"/>
      <c r="D16" s="216"/>
      <c r="E16" s="216"/>
      <c r="F16" s="216"/>
      <c r="G16" s="23"/>
    </row>
    <row r="17" spans="1:7" x14ac:dyDescent="0.25">
      <c r="A17" s="199" t="str">
        <f>CONCATENATE(LEFT(A15,1)+1,".")</f>
        <v>3.</v>
      </c>
      <c r="B17" s="204" t="str">
        <f>IF(OR(VRAGENLIJST!D15&gt;0,VRAGENLIJST!F15&gt;0),Vertaling!A46,"")</f>
        <v/>
      </c>
      <c r="C17" s="216" t="str">
        <f>IF($D$14="","",IF(D15&gt;0,Vertaling!$A$34,""))</f>
        <v/>
      </c>
      <c r="D17" s="231"/>
      <c r="E17" s="216" t="str">
        <f>IF(F15&gt;0,Vertaling!A34,"")</f>
        <v/>
      </c>
      <c r="F17" s="231"/>
    </row>
    <row r="18" spans="1:7" ht="7.5" customHeight="1" x14ac:dyDescent="0.25">
      <c r="A18" s="201"/>
      <c r="B18" s="204"/>
      <c r="C18" s="216"/>
      <c r="D18" s="216"/>
      <c r="E18" s="216"/>
      <c r="F18" s="216"/>
      <c r="G18" s="23"/>
    </row>
    <row r="19" spans="1:7" ht="25.5" x14ac:dyDescent="0.25">
      <c r="A19" s="199" t="str">
        <f>CONCATENATE(LEFT(A17,1)+1,".")</f>
        <v>4.</v>
      </c>
      <c r="B19" s="204" t="str">
        <f>Vertaling!A47</f>
        <v>Als je een (tijdelijke) uitkering of overig inkomen ontvangt, hoe hoog is deze dan per maand?</v>
      </c>
      <c r="C19" s="216" t="str">
        <f>IF($D$14="","",Vertaling!$A$34)</f>
        <v/>
      </c>
      <c r="D19" s="231"/>
      <c r="E19" s="216" t="str">
        <f>Vertaling!A34</f>
        <v>vul nettobedrag in:</v>
      </c>
      <c r="F19" s="231"/>
    </row>
    <row r="20" spans="1:7" ht="7.5" customHeight="1" x14ac:dyDescent="0.25">
      <c r="A20" s="201"/>
      <c r="B20" s="204"/>
      <c r="C20" s="216"/>
      <c r="D20" s="216"/>
      <c r="E20" s="216"/>
      <c r="F20" s="216"/>
      <c r="G20" s="23"/>
    </row>
    <row r="21" spans="1:7" ht="31.5" customHeight="1" x14ac:dyDescent="0.25">
      <c r="A21" s="199" t="str">
        <f>CONCATENATE(LEFT(A19,1)+1,".")</f>
        <v>5.</v>
      </c>
      <c r="B21" s="204" t="str">
        <f>IF(OR(VRAGENLIJST!D19&gt;0,VRAGENLIJST!F19&gt;0),Vertaling!A48,"")</f>
        <v/>
      </c>
      <c r="C21" s="216" t="str">
        <f>IF($D$14="","",IF(D19&gt;0,Vertaling!$A$31,""))</f>
        <v/>
      </c>
      <c r="D21" s="232"/>
      <c r="E21" s="216" t="str">
        <f>IF(F19&gt;0,Vertaling!A31,"")</f>
        <v/>
      </c>
      <c r="F21" s="232"/>
      <c r="G21" s="50"/>
    </row>
    <row r="22" spans="1:7" ht="7.5" customHeight="1" x14ac:dyDescent="0.25">
      <c r="A22" s="201"/>
      <c r="B22" s="204"/>
      <c r="C22" s="216"/>
      <c r="D22" s="233"/>
      <c r="E22" s="216"/>
      <c r="F22" s="233"/>
      <c r="G22" s="23"/>
    </row>
    <row r="23" spans="1:7" ht="30.95" customHeight="1" x14ac:dyDescent="0.25">
      <c r="A23" s="199" t="str">
        <f>CONCATENATE(LEFT(A21,1)+1,".")</f>
        <v>6.</v>
      </c>
      <c r="B23" s="204" t="str">
        <f>Vertaling!A49</f>
        <v>Hoe hoog zijn de toeslagen (zoals kind-, zorg- en huurtoeslag) per maand?</v>
      </c>
      <c r="C23" s="216" t="str">
        <f>IF($D$14="","",Vertaling!$A$34)</f>
        <v/>
      </c>
      <c r="D23" s="231"/>
      <c r="E23" s="216" t="str">
        <f>Vertaling!A34</f>
        <v>vul nettobedrag in:</v>
      </c>
      <c r="F23" s="231"/>
    </row>
    <row r="24" spans="1:7" ht="7.5" customHeight="1" x14ac:dyDescent="0.25">
      <c r="B24" s="192"/>
      <c r="C24" s="222"/>
      <c r="D24" s="234"/>
      <c r="F24" s="234"/>
    </row>
    <row r="25" spans="1:7" x14ac:dyDescent="0.25">
      <c r="A25" s="199" t="str">
        <f>CONCATENATE(LEFT(A23,1)+1,".")</f>
        <v>7.</v>
      </c>
      <c r="B25" s="204" t="str">
        <f>Vertaling!A50</f>
        <v>Heb je een levenspartner met inkomen (uit loondienstverband of uitkering)?</v>
      </c>
      <c r="C25" s="216" t="str">
        <f>IF($D$14="","",Vertaling!A31)</f>
        <v/>
      </c>
      <c r="D25" s="224"/>
      <c r="E25" s="216" t="str">
        <f>Vertaling!A31</f>
        <v>selecteer:</v>
      </c>
      <c r="F25" s="224"/>
      <c r="G25" s="50"/>
    </row>
    <row r="26" spans="1:7" ht="7.5" customHeight="1" x14ac:dyDescent="0.25">
      <c r="A26" s="201"/>
      <c r="B26" s="204"/>
      <c r="C26" s="216"/>
      <c r="D26" s="216"/>
      <c r="E26" s="216"/>
      <c r="F26" s="216"/>
      <c r="G26" s="23"/>
    </row>
    <row r="27" spans="1:7" ht="31.5" customHeight="1" x14ac:dyDescent="0.25">
      <c r="A27" s="199" t="str">
        <f>CONCATENATE(LEFT(A25,1)+1,".")</f>
        <v>8.</v>
      </c>
      <c r="B27" s="204" t="str">
        <f>IF(OR(VRAGENLIJST!D25=dropdowns!$B$24,VRAGENLIJST!F25=dropdowns!$B$24,VRAGENLIJST!D25=dropdowns!$C$24,VRAGENLIJST!F25=dropdowns!$C$24),Vertaling!A51,"")</f>
        <v/>
      </c>
      <c r="C27" s="216" t="str">
        <f>IF($D$14="","",IF(OR(VRAGENLIJST!$D$25=dropdowns!$B$24,VRAGENLIJST!$D$25=dropdowns!$C$24),Vertaling!A34,""))</f>
        <v/>
      </c>
      <c r="D27" s="231"/>
      <c r="E27" s="235" t="str">
        <f>IF(OR(VRAGENLIJST!F25=dropdowns!$B$24,VRAGENLIJST!F25=dropdowns!$C$24),Vertaling!A34,"")</f>
        <v/>
      </c>
      <c r="F27" s="231"/>
      <c r="G27" s="51"/>
    </row>
    <row r="28" spans="1:7" ht="7.5" customHeight="1" x14ac:dyDescent="0.25">
      <c r="A28" s="201"/>
      <c r="B28" s="204"/>
      <c r="C28" s="216"/>
      <c r="D28" s="216"/>
      <c r="E28" s="216"/>
      <c r="F28" s="216"/>
      <c r="G28" s="23"/>
    </row>
    <row r="29" spans="1:7" ht="31.5" customHeight="1" x14ac:dyDescent="0.25">
      <c r="A29" s="199" t="str">
        <f>CONCATENATE(LEFT(A27,1)+1,".")</f>
        <v>9.</v>
      </c>
      <c r="B29" s="204" t="str">
        <f>IF(OR(VRAGENLIJST!D25=dropdowns!$B$24,VRAGENLIJST!F25=dropdowns!$B$24,VRAGENLIJST!D25=dropdowns!$C$24,VRAGENLIJST!F25=dropdowns!$C$24),Vertaling!A52,"")</f>
        <v/>
      </c>
      <c r="C29" s="216" t="str">
        <f>IF($D$14="","",IF(OR(VRAGENLIJST!$D$25=dropdowns!$B$24,VRAGENLIJST!$D$25=dropdowns!$C$24),Vertaling!A34,""))</f>
        <v/>
      </c>
      <c r="D29" s="231"/>
      <c r="E29" s="235" t="str">
        <f>IF(OR(VRAGENLIJST!F25=dropdowns!$B$24,VRAGENLIJST!F25=dropdowns!$C$24),Vertaling!A34,"")</f>
        <v/>
      </c>
      <c r="F29" s="231"/>
    </row>
    <row r="30" spans="1:7" x14ac:dyDescent="0.25">
      <c r="B30" s="205"/>
      <c r="C30" s="236"/>
      <c r="D30" s="237"/>
      <c r="E30" s="236"/>
      <c r="F30" s="237"/>
    </row>
    <row r="31" spans="1:7" x14ac:dyDescent="0.25">
      <c r="B31" s="200"/>
      <c r="C31" s="222"/>
      <c r="D31" s="215" t="str">
        <f>$D$14</f>
        <v/>
      </c>
      <c r="F31" s="215" t="str">
        <f>$F$14</f>
        <v>Ondernemer:</v>
      </c>
    </row>
    <row r="32" spans="1:7" ht="31.5" customHeight="1" x14ac:dyDescent="0.25">
      <c r="A32" s="199"/>
      <c r="B32" s="206" t="str">
        <f>Vertaling!A53</f>
        <v>Totaal gezamenlijk maandinkomen op dit moment:</v>
      </c>
      <c r="C32" s="216" t="str">
        <f>IF($D$14="","",Vertaling!A36)</f>
        <v/>
      </c>
      <c r="D32" s="238">
        <f>D15+D19+D23+IF(OR(D25=dropdowns!B24,D25=dropdowns!C24,D25=dropdowns!D24,D25=dropdowns!E24),VRAGENLIJST!D27,0)</f>
        <v>0</v>
      </c>
      <c r="E32" s="216" t="str">
        <f>Vertaling!A36</f>
        <v>is berekend:</v>
      </c>
      <c r="F32" s="238">
        <f>F15+F19+F23+IF(OR(F25=dropdowns!B24,F25=dropdowns!C24,F25=dropdowns!D24,F25=dropdowns!E24),F27,0)</f>
        <v>0</v>
      </c>
    </row>
    <row r="33" spans="1:65" ht="7.5" customHeight="1" x14ac:dyDescent="0.25">
      <c r="A33" s="201"/>
      <c r="B33" s="200"/>
      <c r="C33" s="216"/>
      <c r="D33" s="216"/>
      <c r="E33" s="216"/>
      <c r="F33" s="216"/>
      <c r="G33" s="23"/>
    </row>
    <row r="34" spans="1:65" x14ac:dyDescent="0.25">
      <c r="A34" s="193"/>
      <c r="B34" s="200" t="str">
        <f>Vertaling!A54</f>
        <v>Totaal gezamenlijk maandinkomen wanneer je bedrijf is opgestart:</v>
      </c>
      <c r="C34" s="216" t="str">
        <f>IF($D$14="","",Vertaling!A36)</f>
        <v/>
      </c>
      <c r="D34" s="238">
        <f>D17+IF(OR(D21=dropdowns!$B$15,D21=dropdowns!$C$15),0,D19)+D23+IF(OR(D25=dropdowns!B24,D25=dropdowns!C24,D25=dropdowns!D24,D25=dropdowns!E24),VRAGENLIJST!D29,0)</f>
        <v>0</v>
      </c>
      <c r="E34" s="216" t="str">
        <f>Vertaling!A36</f>
        <v>is berekend:</v>
      </c>
      <c r="F34" s="238">
        <f>F17+IF(OR(F21=dropdowns!$B$15,F21=dropdowns!$C$15),0,F19)+F23+IF(OR(F25=dropdowns!B24,F25=dropdowns!C24,F25=dropdowns!D24,F25=dropdowns!E24),F29,0)</f>
        <v>0</v>
      </c>
    </row>
    <row r="35" spans="1:65" x14ac:dyDescent="0.25">
      <c r="B35" s="194"/>
      <c r="C35" s="236"/>
      <c r="D35" s="239"/>
      <c r="E35" s="236"/>
      <c r="F35" s="239"/>
    </row>
    <row r="36" spans="1:65" x14ac:dyDescent="0.25">
      <c r="B36" s="195"/>
      <c r="C36" s="222"/>
      <c r="D36" s="223"/>
    </row>
    <row r="37" spans="1:65" x14ac:dyDescent="0.25">
      <c r="B37" s="191" t="str">
        <f>Vertaling!A55</f>
        <v>Privé-uitgaven (maandelijks)</v>
      </c>
      <c r="C37" s="221"/>
      <c r="D37" s="215"/>
      <c r="E37" s="221"/>
      <c r="F37" s="215"/>
    </row>
    <row r="38" spans="1:65" x14ac:dyDescent="0.25">
      <c r="A38" s="199" t="str">
        <f>CONCATENATE(LEFT(A29,1)+1,".")</f>
        <v>10.</v>
      </c>
      <c r="B38" s="200" t="str">
        <f>Vertaling!A56</f>
        <v>Hoeveel geef je maandelijks privé uit?</v>
      </c>
      <c r="C38" s="222"/>
      <c r="D38" s="215" t="str">
        <f>$D$14</f>
        <v/>
      </c>
      <c r="F38" s="215" t="str">
        <f>$F$14</f>
        <v>Ondernemer:</v>
      </c>
    </row>
    <row r="39" spans="1:65" s="26" customFormat="1" x14ac:dyDescent="0.25">
      <c r="A39" s="193" t="s">
        <v>30</v>
      </c>
      <c r="B39" s="200" t="str">
        <f>Vertaling!A57</f>
        <v>Huur woonhuis</v>
      </c>
      <c r="C39" s="216" t="str">
        <f>IF($D$14="","",Vertaling!$A$33)</f>
        <v/>
      </c>
      <c r="D39" s="240"/>
      <c r="E39" s="216" t="str">
        <f>Vertaling!$A$33</f>
        <v>vul bedrag in:</v>
      </c>
      <c r="F39" s="231"/>
      <c r="G39" s="2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25"/>
      <c r="BL39" s="25"/>
      <c r="BM39" s="25"/>
    </row>
    <row r="40" spans="1:65" ht="7.5" customHeight="1" x14ac:dyDescent="0.25">
      <c r="A40" s="201"/>
      <c r="B40" s="200"/>
      <c r="C40" s="216"/>
      <c r="D40" s="241"/>
      <c r="E40" s="216"/>
      <c r="F40" s="241"/>
      <c r="G40" s="23"/>
    </row>
    <row r="41" spans="1:65" s="26" customFormat="1" x14ac:dyDescent="0.25">
      <c r="A41" s="193" t="s">
        <v>30</v>
      </c>
      <c r="B41" s="200" t="str">
        <f>Vertaling!A58</f>
        <v>Aflossing en rente hypotheek (netto)</v>
      </c>
      <c r="C41" s="216" t="str">
        <f>IF($D$14="","",Vertaling!$A$33)</f>
        <v/>
      </c>
      <c r="D41" s="240"/>
      <c r="E41" s="216" t="str">
        <f>Vertaling!$A$33</f>
        <v>vul bedrag in:</v>
      </c>
      <c r="F41" s="231"/>
      <c r="G41" s="2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25"/>
      <c r="BL41" s="25"/>
      <c r="BM41" s="25"/>
    </row>
    <row r="42" spans="1:65" ht="7.5" customHeight="1" x14ac:dyDescent="0.25">
      <c r="A42" s="201"/>
      <c r="B42" s="200"/>
      <c r="C42" s="216"/>
      <c r="D42" s="241"/>
      <c r="E42" s="216"/>
      <c r="F42" s="241"/>
      <c r="G42" s="23"/>
    </row>
    <row r="43" spans="1:65" s="26" customFormat="1" x14ac:dyDescent="0.25">
      <c r="A43" s="199" t="s">
        <v>30</v>
      </c>
      <c r="B43" s="200" t="str">
        <f>Vertaling!A59</f>
        <v>Gas, water en elektriciteit</v>
      </c>
      <c r="C43" s="216" t="str">
        <f>IF($D$14="","",Vertaling!$A$33)</f>
        <v/>
      </c>
      <c r="D43" s="240"/>
      <c r="E43" s="216" t="str">
        <f>Vertaling!$A$33</f>
        <v>vul bedrag in:</v>
      </c>
      <c r="F43" s="231"/>
      <c r="G43" s="2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25"/>
      <c r="BL43" s="25"/>
      <c r="BM43" s="25"/>
    </row>
    <row r="44" spans="1:65" ht="7.5" customHeight="1" x14ac:dyDescent="0.25">
      <c r="A44" s="201"/>
      <c r="B44" s="200"/>
      <c r="C44" s="216"/>
      <c r="D44" s="241"/>
      <c r="E44" s="216"/>
      <c r="F44" s="241"/>
      <c r="G44" s="23"/>
    </row>
    <row r="45" spans="1:65" s="26" customFormat="1" x14ac:dyDescent="0.25">
      <c r="A45" s="199" t="s">
        <v>30</v>
      </c>
      <c r="B45" s="200" t="str">
        <f>Vertaling!A60</f>
        <v>Duurzame consumptiegoederen</v>
      </c>
      <c r="C45" s="216" t="str">
        <f>IF($D$14="","",Vertaling!$A$33)</f>
        <v/>
      </c>
      <c r="D45" s="240"/>
      <c r="E45" s="216" t="str">
        <f>Vertaling!$A$33</f>
        <v>vul bedrag in:</v>
      </c>
      <c r="F45" s="231"/>
      <c r="G45" s="2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25"/>
      <c r="BL45" s="25"/>
      <c r="BM45" s="25"/>
    </row>
    <row r="46" spans="1:65" ht="7.5" customHeight="1" x14ac:dyDescent="0.25">
      <c r="A46" s="201"/>
      <c r="B46" s="200"/>
      <c r="C46" s="216"/>
      <c r="D46" s="241"/>
      <c r="E46" s="216"/>
      <c r="F46" s="241"/>
      <c r="G46" s="23"/>
    </row>
    <row r="47" spans="1:65" s="26" customFormat="1" x14ac:dyDescent="0.25">
      <c r="A47" s="199" t="s">
        <v>30</v>
      </c>
      <c r="B47" s="200" t="str">
        <f>Vertaling!A61</f>
        <v>Ziektekostenverzekering</v>
      </c>
      <c r="C47" s="216" t="str">
        <f>IF($D$14="","",Vertaling!$A$33)</f>
        <v/>
      </c>
      <c r="D47" s="240"/>
      <c r="E47" s="216" t="str">
        <f>Vertaling!$A$33</f>
        <v>vul bedrag in:</v>
      </c>
      <c r="F47" s="231"/>
      <c r="G47" s="2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25"/>
      <c r="BL47" s="25"/>
      <c r="BM47" s="25"/>
    </row>
    <row r="48" spans="1:65" ht="7.5" customHeight="1" x14ac:dyDescent="0.25">
      <c r="A48" s="201"/>
      <c r="B48" s="200"/>
      <c r="C48" s="216"/>
      <c r="D48" s="241"/>
      <c r="E48" s="216"/>
      <c r="F48" s="241"/>
      <c r="G48" s="23"/>
    </row>
    <row r="49" spans="1:65" s="26" customFormat="1" x14ac:dyDescent="0.25">
      <c r="A49" s="199" t="s">
        <v>30</v>
      </c>
      <c r="B49" s="200" t="str">
        <f>Vertaling!A62</f>
        <v>Overige verzekeringen (inboedel, WA, e.d.)</v>
      </c>
      <c r="C49" s="216" t="str">
        <f>IF($D$14="","",Vertaling!$A$33)</f>
        <v/>
      </c>
      <c r="D49" s="240"/>
      <c r="E49" s="216" t="str">
        <f>Vertaling!$A$33</f>
        <v>vul bedrag in:</v>
      </c>
      <c r="F49" s="231"/>
      <c r="G49" s="2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25"/>
      <c r="BL49" s="25"/>
      <c r="BM49" s="25"/>
    </row>
    <row r="50" spans="1:65" ht="7.5" customHeight="1" x14ac:dyDescent="0.25">
      <c r="A50" s="201"/>
      <c r="B50" s="200"/>
      <c r="C50" s="216"/>
      <c r="D50" s="241"/>
      <c r="E50" s="216"/>
      <c r="F50" s="241"/>
      <c r="G50" s="23"/>
    </row>
    <row r="51" spans="1:65" s="26" customFormat="1" x14ac:dyDescent="0.25">
      <c r="A51" s="199" t="s">
        <v>30</v>
      </c>
      <c r="B51" s="200" t="str">
        <f>Vertaling!A63</f>
        <v>Vervoer (brandstof, onderhoud, abonnement)</v>
      </c>
      <c r="C51" s="216" t="str">
        <f>IF($D$14="","",Vertaling!$A$33)</f>
        <v/>
      </c>
      <c r="D51" s="240"/>
      <c r="E51" s="216" t="str">
        <f>Vertaling!$A$33</f>
        <v>vul bedrag in:</v>
      </c>
      <c r="F51" s="231"/>
      <c r="G51" s="2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25"/>
      <c r="BL51" s="25"/>
      <c r="BM51" s="25"/>
    </row>
    <row r="52" spans="1:65" ht="7.5" customHeight="1" x14ac:dyDescent="0.25">
      <c r="A52" s="201"/>
      <c r="B52" s="200"/>
      <c r="C52" s="216"/>
      <c r="D52" s="241"/>
      <c r="E52" s="216"/>
      <c r="F52" s="241"/>
      <c r="G52" s="23"/>
    </row>
    <row r="53" spans="1:65" s="26" customFormat="1" x14ac:dyDescent="0.25">
      <c r="A53" s="199" t="s">
        <v>30</v>
      </c>
      <c r="B53" s="200" t="str">
        <f>Vertaling!A64</f>
        <v>Huishoudelijke uitgaven (voeding/kleding/sport)</v>
      </c>
      <c r="C53" s="216" t="str">
        <f>IF($D$14="","",Vertaling!$A$33)</f>
        <v/>
      </c>
      <c r="D53" s="240"/>
      <c r="E53" s="216" t="str">
        <f>Vertaling!$A$33</f>
        <v>vul bedrag in:</v>
      </c>
      <c r="F53" s="231"/>
      <c r="G53" s="2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25"/>
      <c r="BL53" s="25"/>
      <c r="BM53" s="25"/>
    </row>
    <row r="54" spans="1:65" ht="7.5" customHeight="1" x14ac:dyDescent="0.25">
      <c r="A54" s="201"/>
      <c r="B54" s="200"/>
      <c r="C54" s="216"/>
      <c r="D54" s="241"/>
      <c r="E54" s="216"/>
      <c r="F54" s="241"/>
      <c r="G54" s="23"/>
    </row>
    <row r="55" spans="1:65" s="26" customFormat="1" x14ac:dyDescent="0.25">
      <c r="A55" s="199" t="s">
        <v>30</v>
      </c>
      <c r="B55" s="200" t="str">
        <f>Vertaling!A65</f>
        <v>Vakantie en recreatie</v>
      </c>
      <c r="C55" s="216" t="str">
        <f>IF($D$14="","",Vertaling!$A$33)</f>
        <v/>
      </c>
      <c r="D55" s="240"/>
      <c r="E55" s="216" t="str">
        <f>Vertaling!$A$33</f>
        <v>vul bedrag in:</v>
      </c>
      <c r="F55" s="231"/>
      <c r="G55" s="2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25"/>
      <c r="BL55" s="25"/>
      <c r="BM55" s="25"/>
    </row>
    <row r="56" spans="1:65" ht="7.5" customHeight="1" x14ac:dyDescent="0.25">
      <c r="A56" s="201"/>
      <c r="B56" s="200"/>
      <c r="C56" s="216"/>
      <c r="D56" s="241"/>
      <c r="E56" s="216"/>
      <c r="F56" s="241"/>
      <c r="G56" s="23"/>
    </row>
    <row r="57" spans="1:65" s="26" customFormat="1" x14ac:dyDescent="0.25">
      <c r="A57" s="199" t="s">
        <v>30</v>
      </c>
      <c r="B57" s="200" t="str">
        <f>Vertaling!A66</f>
        <v>Opleiding, studiekosten en opvang kinderen</v>
      </c>
      <c r="C57" s="216" t="str">
        <f>IF($D$14="","",Vertaling!$A$33)</f>
        <v/>
      </c>
      <c r="D57" s="240"/>
      <c r="E57" s="216" t="str">
        <f>Vertaling!$A$33</f>
        <v>vul bedrag in:</v>
      </c>
      <c r="F57" s="231"/>
      <c r="G57" s="2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25"/>
      <c r="BL57" s="25"/>
      <c r="BM57" s="25"/>
    </row>
    <row r="58" spans="1:65" ht="7.5" customHeight="1" x14ac:dyDescent="0.25">
      <c r="A58" s="201"/>
      <c r="B58" s="200"/>
      <c r="C58" s="216"/>
      <c r="D58" s="241"/>
      <c r="E58" s="216"/>
      <c r="F58" s="241"/>
      <c r="G58" s="23"/>
    </row>
    <row r="59" spans="1:65" s="26" customFormat="1" x14ac:dyDescent="0.25">
      <c r="A59" s="199" t="s">
        <v>30</v>
      </c>
      <c r="B59" s="200" t="str">
        <f>Vertaling!A67</f>
        <v>Aflossing en rente privélening (geen hypotheek)</v>
      </c>
      <c r="C59" s="216" t="str">
        <f>IF($D$14="","",Vertaling!$A$33)</f>
        <v/>
      </c>
      <c r="D59" s="240"/>
      <c r="E59" s="216" t="str">
        <f>Vertaling!$A$33</f>
        <v>vul bedrag in:</v>
      </c>
      <c r="F59" s="231"/>
      <c r="G59" s="2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25"/>
      <c r="BL59" s="25"/>
      <c r="BM59" s="25"/>
    </row>
    <row r="60" spans="1:65" ht="7.5" customHeight="1" x14ac:dyDescent="0.25">
      <c r="A60" s="201"/>
      <c r="B60" s="200"/>
      <c r="C60" s="216"/>
      <c r="D60" s="241"/>
      <c r="E60" s="216"/>
      <c r="F60" s="241"/>
      <c r="G60" s="23"/>
    </row>
    <row r="61" spans="1:65" s="26" customFormat="1" x14ac:dyDescent="0.25">
      <c r="A61" s="199" t="s">
        <v>30</v>
      </c>
      <c r="B61" s="200" t="str">
        <f>Vertaling!A68</f>
        <v>Overige privé-uitgaven</v>
      </c>
      <c r="C61" s="216" t="str">
        <f>IF($D$14="","",Vertaling!$A$33)</f>
        <v/>
      </c>
      <c r="D61" s="240"/>
      <c r="E61" s="216" t="str">
        <f>Vertaling!$A$33</f>
        <v>vul bedrag in:</v>
      </c>
      <c r="F61" s="231"/>
      <c r="G61" s="2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25"/>
      <c r="BL61" s="25"/>
      <c r="BM61" s="25"/>
    </row>
    <row r="62" spans="1:65" s="26" customFormat="1" x14ac:dyDescent="0.25">
      <c r="A62" s="119"/>
      <c r="B62" s="194"/>
      <c r="C62" s="236"/>
      <c r="D62" s="242"/>
      <c r="E62" s="236"/>
      <c r="F62" s="242"/>
      <c r="G62" s="2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25"/>
      <c r="BL62" s="25"/>
      <c r="BM62" s="25"/>
    </row>
    <row r="63" spans="1:65" s="26" customFormat="1" x14ac:dyDescent="0.25">
      <c r="A63" s="119"/>
      <c r="B63" s="22"/>
      <c r="C63" s="222"/>
      <c r="D63" s="215" t="str">
        <f>$D$14</f>
        <v/>
      </c>
      <c r="E63" s="222"/>
      <c r="F63" s="215" t="str">
        <f>$F$14</f>
        <v>Ondernemer:</v>
      </c>
      <c r="G63" s="2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25"/>
      <c r="BL63" s="25"/>
      <c r="BM63" s="25"/>
    </row>
    <row r="64" spans="1:65" ht="26.25" x14ac:dyDescent="0.25">
      <c r="A64" s="199"/>
      <c r="B64" s="200" t="str">
        <f>Vertaling!A69</f>
        <v>Dit bedrag kan je maandelijks nog sparen voordat je met je bedrijf gaat starten:</v>
      </c>
      <c r="C64" s="216" t="str">
        <f>IF($D$14="","",Vertaling!A36)</f>
        <v/>
      </c>
      <c r="D64" s="238">
        <f>D32-SUM($D$39:$D$61)</f>
        <v>0</v>
      </c>
      <c r="E64" s="216" t="str">
        <f>Vertaling!A36</f>
        <v>is berekend:</v>
      </c>
      <c r="F64" s="238">
        <f>F32-SUM($F$39:$F$61)</f>
        <v>0</v>
      </c>
    </row>
    <row r="65" spans="1:7" ht="7.5" customHeight="1" x14ac:dyDescent="0.25">
      <c r="A65" s="201"/>
      <c r="B65" s="200"/>
      <c r="C65" s="216"/>
      <c r="D65" s="243"/>
      <c r="E65" s="216"/>
      <c r="F65" s="243"/>
      <c r="G65" s="23"/>
    </row>
    <row r="66" spans="1:7" x14ac:dyDescent="0.25">
      <c r="A66" s="193"/>
      <c r="B66" s="200" t="str">
        <f>Vertaling!A70</f>
        <v>Dit bedrag moet je maandelijks uit je onderneming halen als je bent gestart:</v>
      </c>
      <c r="C66" s="216" t="str">
        <f>IF($D$14="","",Vertaling!A36)</f>
        <v/>
      </c>
      <c r="D66" s="238">
        <f>IF(SUM($D$39:$D$61)-D34&lt;0,0,SUM($D$39:$D$61)-D34)</f>
        <v>0</v>
      </c>
      <c r="E66" s="216" t="str">
        <f>Vertaling!A36</f>
        <v>is berekend:</v>
      </c>
      <c r="F66" s="238">
        <f>IF(SUM($F$39:$F$61)-F34&lt;0,0,SUM($F$39:$F$61)-F34)</f>
        <v>0</v>
      </c>
    </row>
    <row r="67" spans="1:7" x14ac:dyDescent="0.25">
      <c r="A67" s="193"/>
      <c r="B67" s="200"/>
      <c r="D67" s="245"/>
      <c r="E67" s="246"/>
      <c r="F67" s="245"/>
    </row>
    <row r="68" spans="1:7" ht="31.5" customHeight="1" x14ac:dyDescent="0.25">
      <c r="A68" s="193"/>
      <c r="B68" s="206" t="str">
        <f>IF(OR(VRAGENLIJST!$D$4=dropdowns!$B$6,VRAGENLIJST!D4=dropdowns!C6),Vertaling!A71,"")</f>
        <v/>
      </c>
      <c r="C68" s="216" t="str">
        <f>IF($D$14="","",Vertaling!$A72)</f>
        <v/>
      </c>
      <c r="D68" s="231"/>
      <c r="E68" s="216" t="str">
        <f>IF(VRAGENLIJST!$D$4=dropdowns!$A$6,Vertaling!A72,"")</f>
        <v/>
      </c>
      <c r="F68" s="231"/>
    </row>
    <row r="69" spans="1:7" x14ac:dyDescent="0.25">
      <c r="A69" s="193"/>
      <c r="B69" s="205"/>
      <c r="C69" s="247"/>
      <c r="D69" s="248"/>
      <c r="E69" s="247"/>
      <c r="F69" s="248"/>
    </row>
    <row r="70" spans="1:7" x14ac:dyDescent="0.25">
      <c r="C70" s="222"/>
      <c r="D70" s="223"/>
    </row>
    <row r="71" spans="1:7" x14ac:dyDescent="0.25">
      <c r="B71" s="207" t="str">
        <f>Vertaling!A73</f>
        <v>Privé: Eigen geld, bezittingen en schulden</v>
      </c>
      <c r="C71" s="221"/>
      <c r="D71" s="215" t="str">
        <f>$D$14</f>
        <v/>
      </c>
      <c r="F71" s="215" t="str">
        <f>$F$14</f>
        <v>Ondernemer:</v>
      </c>
    </row>
    <row r="72" spans="1:7" x14ac:dyDescent="0.25">
      <c r="A72" s="199" t="str">
        <f>CONCATENATE(LEFT(A38,2)+1,".")</f>
        <v>11.</v>
      </c>
      <c r="B72" s="200" t="str">
        <f>Vertaling!A74</f>
        <v>Heb je een koopwoning?</v>
      </c>
      <c r="C72" s="216" t="str">
        <f>IF($D$14="","",Vertaling!A31)</f>
        <v/>
      </c>
      <c r="D72" s="249"/>
      <c r="E72" s="216" t="str">
        <f>Vertaling!A31</f>
        <v>selecteer:</v>
      </c>
      <c r="F72" s="249"/>
      <c r="G72" s="50"/>
    </row>
    <row r="73" spans="1:7" ht="7.5" customHeight="1" x14ac:dyDescent="0.25">
      <c r="A73" s="201"/>
      <c r="B73" s="200"/>
      <c r="C73" s="216"/>
      <c r="D73" s="241"/>
      <c r="E73" s="216"/>
      <c r="F73" s="241"/>
      <c r="G73" s="23"/>
    </row>
    <row r="74" spans="1:7" x14ac:dyDescent="0.25">
      <c r="A74" s="199" t="str">
        <f>CONCATENATE(LEFT(A72,2)+1,".")</f>
        <v>12.</v>
      </c>
      <c r="B74" s="200" t="str">
        <f>IF(OR(VRAGENLIJST!D72=dropdowns!$B$24,VRAGENLIJST!F72=dropdowns!$B$24,VRAGENLIJST!D72=dropdowns!$C$24,VRAGENLIJST!F72=dropdowns!$C$24),Vertaling!A75,"")</f>
        <v/>
      </c>
      <c r="C74" s="216" t="str">
        <f>IF(OR(VRAGENLIJST!D72=dropdowns!$B$24,VRAGENLIJST!D72=dropdowns!$C$24),IF($D$14="","",Vertaling!$A$33),"")</f>
        <v/>
      </c>
      <c r="D74" s="240"/>
      <c r="E74" s="216" t="str">
        <f>IF(OR(VRAGENLIJST!F72=dropdowns!$B$24,VRAGENLIJST!F72=dropdowns!$C$24),Vertaling!$A$33,"")</f>
        <v/>
      </c>
      <c r="F74" s="240"/>
    </row>
    <row r="75" spans="1:7" ht="7.5" customHeight="1" x14ac:dyDescent="0.25">
      <c r="A75" s="201"/>
      <c r="B75" s="200"/>
      <c r="C75" s="216"/>
      <c r="D75" s="241"/>
      <c r="E75" s="216"/>
      <c r="F75" s="241"/>
      <c r="G75" s="23"/>
    </row>
    <row r="76" spans="1:7" x14ac:dyDescent="0.25">
      <c r="A76" s="199" t="str">
        <f>CONCATENATE(LEFT(A74,2)+1,".")</f>
        <v>13.</v>
      </c>
      <c r="B76" s="200" t="str">
        <f>IF(OR(VRAGENLIJST!D72=dropdowns!$B$24,VRAGENLIJST!F72=dropdowns!$B$24,VRAGENLIJST!D72=dropdowns!$C$24,VRAGENLIJST!F72=dropdowns!$C$24),Vertaling!A76,"")</f>
        <v/>
      </c>
      <c r="C76" s="216" t="str">
        <f>IF(OR(VRAGENLIJST!D72=dropdowns!$B$24,VRAGENLIJST!D72=dropdowns!$C$24),IF($D$14="","",Vertaling!$A$33),"")</f>
        <v/>
      </c>
      <c r="D76" s="240"/>
      <c r="E76" s="216" t="str">
        <f>IF(OR(VRAGENLIJST!F72=dropdowns!$B$24,VRAGENLIJST!F72=dropdowns!$C$24),Vertaling!$A$33,"")</f>
        <v/>
      </c>
      <c r="F76" s="240"/>
    </row>
    <row r="77" spans="1:7" ht="7.5" customHeight="1" x14ac:dyDescent="0.25">
      <c r="A77" s="201"/>
      <c r="B77" s="200"/>
      <c r="C77" s="216"/>
      <c r="D77" s="241"/>
      <c r="E77" s="216"/>
      <c r="F77" s="241"/>
      <c r="G77" s="23"/>
    </row>
    <row r="78" spans="1:7" ht="26.25" x14ac:dyDescent="0.25">
      <c r="A78" s="199" t="str">
        <f>CONCATENATE(LEFT(A76,2)+1,".")</f>
        <v>14.</v>
      </c>
      <c r="B78" s="200" t="str">
        <f>Vertaling!A77</f>
        <v>Als je (naast je hypotheek) nog andere schulden hebt, hoe hoog zijn deze schulden?</v>
      </c>
      <c r="C78" s="216" t="str">
        <f>IF($D$14="","",Vertaling!$A$33)</f>
        <v/>
      </c>
      <c r="D78" s="231"/>
      <c r="E78" s="216" t="str">
        <f>Vertaling!$A$33</f>
        <v>vul bedrag in:</v>
      </c>
      <c r="F78" s="231"/>
    </row>
    <row r="79" spans="1:7" ht="7.5" customHeight="1" x14ac:dyDescent="0.25">
      <c r="A79" s="201"/>
      <c r="B79" s="200"/>
      <c r="C79" s="216"/>
      <c r="D79" s="241"/>
      <c r="E79" s="216"/>
      <c r="F79" s="241"/>
      <c r="G79" s="23"/>
    </row>
    <row r="80" spans="1:7" x14ac:dyDescent="0.25">
      <c r="A80" s="199" t="str">
        <f>CONCATENATE(LEFT(A78,2)+1,".")</f>
        <v>15.</v>
      </c>
      <c r="B80" s="200" t="str">
        <f>Vertaling!A78</f>
        <v xml:space="preserve">Hoeveel spaargeld heb je op dit moment? </v>
      </c>
      <c r="C80" s="216" t="str">
        <f>IF($D$14="","",Vertaling!$A$33)</f>
        <v/>
      </c>
      <c r="D80" s="240"/>
      <c r="E80" s="216" t="str">
        <f>Vertaling!$A$33</f>
        <v>vul bedrag in:</v>
      </c>
      <c r="F80" s="240"/>
    </row>
    <row r="81" spans="1:62" ht="7.5" customHeight="1" x14ac:dyDescent="0.25">
      <c r="A81" s="201"/>
      <c r="B81" s="200"/>
      <c r="C81" s="216"/>
      <c r="D81" s="241"/>
      <c r="E81" s="216"/>
      <c r="F81" s="241"/>
      <c r="G81" s="23"/>
    </row>
    <row r="82" spans="1:62" ht="30" customHeight="1" x14ac:dyDescent="0.25">
      <c r="A82" s="199" t="str">
        <f>CONCATENATE(LEFT(A80,2)+1,".")</f>
        <v>16.</v>
      </c>
      <c r="B82" s="200" t="str">
        <f>Vertaling!A80</f>
        <v>Als je nog ander vermogen hebt, zoals aandelen of vastgoed, wat is de waarde hiervan?</v>
      </c>
      <c r="C82" s="216" t="str">
        <f>IF($D$14="","",Vertaling!$A$33)</f>
        <v/>
      </c>
      <c r="D82" s="231"/>
      <c r="E82" s="216" t="str">
        <f>Vertaling!$A$33</f>
        <v>vul bedrag in:</v>
      </c>
      <c r="F82" s="231"/>
    </row>
    <row r="83" spans="1:62" ht="7.5" customHeight="1" x14ac:dyDescent="0.25">
      <c r="B83" s="200"/>
      <c r="C83" s="222"/>
      <c r="D83" s="223"/>
    </row>
    <row r="85" spans="1:62" s="28" customFormat="1" x14ac:dyDescent="0.25">
      <c r="A85" s="208"/>
      <c r="B85" s="202" t="str">
        <f>Vertaling!A81</f>
        <v>Investeringen (voor langere periode)</v>
      </c>
      <c r="C85" s="250"/>
      <c r="D85" s="251"/>
      <c r="E85" s="252"/>
      <c r="F85" s="223"/>
      <c r="G85" s="27"/>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7"/>
      <c r="AL85" s="37"/>
      <c r="AM85" s="37"/>
      <c r="AN85" s="37"/>
      <c r="AO85" s="37"/>
      <c r="AP85" s="37"/>
      <c r="AQ85" s="37"/>
      <c r="AR85" s="37"/>
      <c r="AS85" s="37"/>
      <c r="AT85" s="37"/>
      <c r="AU85" s="37"/>
      <c r="AV85" s="37"/>
      <c r="AW85" s="37"/>
      <c r="AX85" s="38"/>
      <c r="AY85" s="38"/>
      <c r="AZ85" s="38"/>
      <c r="BA85" s="38"/>
      <c r="BB85" s="38"/>
      <c r="BC85" s="38"/>
      <c r="BD85" s="38"/>
      <c r="BE85" s="38"/>
      <c r="BF85" s="38"/>
      <c r="BG85" s="38"/>
      <c r="BH85" s="38"/>
      <c r="BI85" s="38"/>
      <c r="BJ85" s="38"/>
    </row>
    <row r="86" spans="1:62" s="28" customFormat="1" x14ac:dyDescent="0.25">
      <c r="A86" s="199" t="str">
        <f>CONCATENATE(LEFT(A82,2)+1,".")</f>
        <v>17.</v>
      </c>
      <c r="B86" s="200" t="str">
        <f>Vertaling!A82</f>
        <v xml:space="preserve">Wat heb je nodig om te kunnen starten met je bedrijf?  </v>
      </c>
      <c r="C86" s="250"/>
      <c r="D86" s="215" t="str">
        <f>Vertaling!A30</f>
        <v>Antwoord:</v>
      </c>
      <c r="E86" s="252"/>
      <c r="F86" s="215" t="str">
        <f>Vertaling!A30</f>
        <v>Antwoord:</v>
      </c>
      <c r="G86" s="27"/>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7"/>
      <c r="AL86" s="37"/>
      <c r="AM86" s="37"/>
      <c r="AN86" s="37"/>
      <c r="AO86" s="37"/>
      <c r="AP86" s="37"/>
      <c r="AQ86" s="37"/>
      <c r="AR86" s="37"/>
      <c r="AS86" s="37"/>
      <c r="AT86" s="37"/>
      <c r="AU86" s="37"/>
      <c r="AV86" s="37"/>
      <c r="AW86" s="37"/>
      <c r="AX86" s="38"/>
      <c r="AY86" s="38"/>
      <c r="AZ86" s="38"/>
      <c r="BA86" s="38"/>
      <c r="BB86" s="38"/>
      <c r="BC86" s="38"/>
      <c r="BD86" s="38"/>
      <c r="BE86" s="38"/>
      <c r="BF86" s="38"/>
      <c r="BG86" s="38"/>
      <c r="BH86" s="38"/>
      <c r="BI86" s="38"/>
      <c r="BJ86" s="38"/>
    </row>
    <row r="87" spans="1:62" x14ac:dyDescent="0.25">
      <c r="A87" s="201" t="s">
        <v>30</v>
      </c>
      <c r="B87" s="200" t="str">
        <f>Vertaling!A83</f>
        <v>Aankoop onroerend goed</v>
      </c>
      <c r="C87" s="216" t="str">
        <f>Vertaling!A31</f>
        <v>selecteer:</v>
      </c>
      <c r="D87" s="249"/>
      <c r="E87" s="216" t="str">
        <f>Vertaling!$A$33</f>
        <v>vul bedrag in:</v>
      </c>
      <c r="F87" s="240"/>
      <c r="G87" s="23"/>
    </row>
    <row r="88" spans="1:62" ht="7.5" customHeight="1" x14ac:dyDescent="0.25">
      <c r="A88" s="201"/>
      <c r="B88" s="200"/>
      <c r="C88" s="216"/>
      <c r="D88" s="253"/>
      <c r="E88" s="216"/>
      <c r="F88" s="241"/>
      <c r="G88" s="23"/>
    </row>
    <row r="89" spans="1:62" x14ac:dyDescent="0.25">
      <c r="A89" s="201" t="s">
        <v>30</v>
      </c>
      <c r="B89" s="200" t="str">
        <f>Vertaling!A84</f>
        <v>Verbouwing</v>
      </c>
      <c r="C89" s="216" t="str">
        <f>Vertaling!A31</f>
        <v>selecteer:</v>
      </c>
      <c r="D89" s="249"/>
      <c r="E89" s="216" t="str">
        <f>Vertaling!$A$33</f>
        <v>vul bedrag in:</v>
      </c>
      <c r="F89" s="240"/>
      <c r="G89" s="23"/>
    </row>
    <row r="90" spans="1:62" ht="7.5" customHeight="1" x14ac:dyDescent="0.25">
      <c r="A90" s="201"/>
      <c r="B90" s="200"/>
      <c r="C90" s="216"/>
      <c r="D90" s="253"/>
      <c r="E90" s="216"/>
      <c r="F90" s="241"/>
      <c r="G90" s="23"/>
    </row>
    <row r="91" spans="1:62" x14ac:dyDescent="0.25">
      <c r="A91" s="201" t="s">
        <v>30</v>
      </c>
      <c r="B91" s="200" t="str">
        <f>Vertaling!A85</f>
        <v>Inventaris</v>
      </c>
      <c r="C91" s="216" t="str">
        <f>Vertaling!A31</f>
        <v>selecteer:</v>
      </c>
      <c r="D91" s="249"/>
      <c r="E91" s="216" t="str">
        <f>Vertaling!$A$33</f>
        <v>vul bedrag in:</v>
      </c>
      <c r="F91" s="240"/>
      <c r="G91" s="23"/>
    </row>
    <row r="92" spans="1:62" ht="7.5" customHeight="1" x14ac:dyDescent="0.25">
      <c r="A92" s="201"/>
      <c r="B92" s="200"/>
      <c r="C92" s="216"/>
      <c r="D92" s="253"/>
      <c r="E92" s="216"/>
      <c r="F92" s="241"/>
      <c r="G92" s="23"/>
    </row>
    <row r="93" spans="1:62" x14ac:dyDescent="0.25">
      <c r="A93" s="201" t="s">
        <v>30</v>
      </c>
      <c r="B93" s="200" t="str">
        <f>Vertaling!A86</f>
        <v>Machines en/of gereedschappen</v>
      </c>
      <c r="C93" s="216" t="str">
        <f>Vertaling!A31</f>
        <v>selecteer:</v>
      </c>
      <c r="D93" s="249"/>
      <c r="E93" s="216" t="str">
        <f>Vertaling!$A$33</f>
        <v>vul bedrag in:</v>
      </c>
      <c r="F93" s="240"/>
      <c r="G93" s="23"/>
    </row>
    <row r="94" spans="1:62" ht="7.5" customHeight="1" x14ac:dyDescent="0.25">
      <c r="A94" s="201"/>
      <c r="B94" s="200"/>
      <c r="C94" s="216"/>
      <c r="D94" s="253"/>
      <c r="E94" s="216"/>
      <c r="F94" s="241"/>
      <c r="G94" s="23"/>
    </row>
    <row r="95" spans="1:62" x14ac:dyDescent="0.25">
      <c r="A95" s="201" t="s">
        <v>30</v>
      </c>
      <c r="B95" s="200" t="str">
        <f>Vertaling!A87</f>
        <v>Computer en/of software</v>
      </c>
      <c r="C95" s="216" t="str">
        <f>Vertaling!A31</f>
        <v>selecteer:</v>
      </c>
      <c r="D95" s="249"/>
      <c r="E95" s="216" t="str">
        <f>Vertaling!$A$33</f>
        <v>vul bedrag in:</v>
      </c>
      <c r="F95" s="240"/>
      <c r="G95" s="23"/>
    </row>
    <row r="96" spans="1:62" ht="7.5" customHeight="1" x14ac:dyDescent="0.25">
      <c r="A96" s="201"/>
      <c r="B96" s="200"/>
      <c r="C96" s="216"/>
      <c r="D96" s="253"/>
      <c r="E96" s="216"/>
      <c r="F96" s="241"/>
      <c r="G96" s="23"/>
    </row>
    <row r="97" spans="1:62" x14ac:dyDescent="0.25">
      <c r="A97" s="201" t="s">
        <v>30</v>
      </c>
      <c r="B97" s="200" t="str">
        <f>Vertaling!A88</f>
        <v>Transportmiddel</v>
      </c>
      <c r="C97" s="216" t="str">
        <f>Vertaling!A31</f>
        <v>selecteer:</v>
      </c>
      <c r="D97" s="249"/>
      <c r="E97" s="216" t="str">
        <f>Vertaling!$A$33</f>
        <v>vul bedrag in:</v>
      </c>
      <c r="F97" s="240"/>
      <c r="G97" s="23"/>
    </row>
    <row r="98" spans="1:62" ht="7.5" customHeight="1" x14ac:dyDescent="0.25">
      <c r="A98" s="201"/>
      <c r="B98" s="200"/>
      <c r="C98" s="216"/>
      <c r="D98" s="253"/>
      <c r="E98" s="216"/>
      <c r="F98" s="241"/>
      <c r="G98" s="23"/>
    </row>
    <row r="99" spans="1:62" x14ac:dyDescent="0.25">
      <c r="A99" s="201" t="s">
        <v>30</v>
      </c>
      <c r="B99" s="200" t="str">
        <f>Vertaling!A89</f>
        <v>Startvoorraad product 1</v>
      </c>
      <c r="C99" s="216" t="str">
        <f>Vertaling!A31</f>
        <v>selecteer:</v>
      </c>
      <c r="D99" s="249"/>
      <c r="E99" s="216" t="str">
        <f>Vertaling!$A$33</f>
        <v>vul bedrag in:</v>
      </c>
      <c r="F99" s="240"/>
      <c r="G99" s="23"/>
    </row>
    <row r="100" spans="1:62" ht="7.5" customHeight="1" x14ac:dyDescent="0.25">
      <c r="A100" s="201"/>
      <c r="B100" s="200"/>
      <c r="C100" s="235"/>
      <c r="D100" s="253"/>
      <c r="E100" s="216"/>
      <c r="F100" s="241"/>
      <c r="G100" s="23"/>
    </row>
    <row r="101" spans="1:62" x14ac:dyDescent="0.25">
      <c r="A101" s="201" t="s">
        <v>30</v>
      </c>
      <c r="B101" s="200" t="str">
        <f>Vertaling!A90</f>
        <v>Startvoorraad product 2</v>
      </c>
      <c r="C101" s="216" t="str">
        <f>Vertaling!A31</f>
        <v>selecteer:</v>
      </c>
      <c r="D101" s="249"/>
      <c r="E101" s="216" t="str">
        <f>Vertaling!$A$33</f>
        <v>vul bedrag in:</v>
      </c>
      <c r="F101" s="240"/>
      <c r="G101" s="23"/>
    </row>
    <row r="102" spans="1:62" ht="7.5" customHeight="1" x14ac:dyDescent="0.25">
      <c r="A102" s="201"/>
      <c r="B102" s="200"/>
      <c r="C102" s="235"/>
      <c r="D102" s="253"/>
      <c r="E102" s="216"/>
      <c r="F102" s="241"/>
      <c r="G102" s="23"/>
    </row>
    <row r="103" spans="1:62" x14ac:dyDescent="0.25">
      <c r="A103" s="201" t="s">
        <v>30</v>
      </c>
      <c r="B103" s="200" t="str">
        <f>Vertaling!A91</f>
        <v>Huurgarantie</v>
      </c>
      <c r="E103" s="216" t="str">
        <f>Vertaling!$A$33</f>
        <v>vul bedrag in:</v>
      </c>
      <c r="F103" s="240"/>
    </row>
    <row r="104" spans="1:62" ht="7.5" customHeight="1" x14ac:dyDescent="0.25">
      <c r="A104" s="201"/>
      <c r="B104" s="200"/>
      <c r="C104" s="235"/>
      <c r="D104" s="253"/>
      <c r="E104" s="216"/>
      <c r="F104" s="241"/>
      <c r="G104" s="23"/>
    </row>
    <row r="105" spans="1:62" x14ac:dyDescent="0.25">
      <c r="A105" s="201" t="s">
        <v>30</v>
      </c>
      <c r="B105" s="200" t="str">
        <f>Vertaling!A92</f>
        <v>Franchisefee</v>
      </c>
      <c r="E105" s="216" t="str">
        <f>Vertaling!$A$33</f>
        <v>vul bedrag in:</v>
      </c>
      <c r="F105" s="240"/>
    </row>
    <row r="106" spans="1:62" ht="7.5" customHeight="1" x14ac:dyDescent="0.25">
      <c r="A106" s="201"/>
      <c r="B106" s="200"/>
      <c r="C106" s="235"/>
      <c r="D106" s="253"/>
      <c r="E106" s="216"/>
      <c r="F106" s="241"/>
      <c r="G106" s="23"/>
    </row>
    <row r="107" spans="1:62" x14ac:dyDescent="0.25">
      <c r="A107" s="201" t="s">
        <v>30</v>
      </c>
      <c r="B107" s="200" t="str">
        <f>Vertaling!A93</f>
        <v>Goodwill</v>
      </c>
      <c r="E107" s="216" t="str">
        <f>Vertaling!$A$33</f>
        <v>vul bedrag in:</v>
      </c>
      <c r="F107" s="240"/>
    </row>
    <row r="108" spans="1:62" ht="7.5" customHeight="1" x14ac:dyDescent="0.25">
      <c r="A108" s="201"/>
      <c r="B108" s="200"/>
      <c r="C108" s="235"/>
      <c r="D108" s="253"/>
      <c r="E108" s="216"/>
      <c r="F108" s="241"/>
      <c r="G108" s="23"/>
    </row>
    <row r="109" spans="1:62" x14ac:dyDescent="0.25">
      <c r="A109" s="201" t="s">
        <v>30</v>
      </c>
      <c r="B109" s="200" t="str">
        <f>Vertaling!A94</f>
        <v>Promotiekosten</v>
      </c>
      <c r="E109" s="216" t="str">
        <f>Vertaling!$A$33</f>
        <v>vul bedrag in:</v>
      </c>
      <c r="F109" s="240"/>
    </row>
    <row r="110" spans="1:62" ht="7.5" customHeight="1" x14ac:dyDescent="0.25">
      <c r="A110" s="201"/>
      <c r="B110" s="200"/>
      <c r="E110" s="216"/>
      <c r="F110" s="241"/>
    </row>
    <row r="111" spans="1:62" x14ac:dyDescent="0.25">
      <c r="A111" s="201" t="s">
        <v>30</v>
      </c>
      <c r="B111" s="200" t="str">
        <f>Vertaling!A95</f>
        <v>Btw over investeringen</v>
      </c>
      <c r="E111" s="216" t="str">
        <f>Vertaling!A36</f>
        <v>is berekend:</v>
      </c>
      <c r="F111" s="254">
        <f>(IF(OR(D89=dropdowns!$B$29,D89=dropdowns!$C$29,D89=dropdowns!$D$29,D89=dropdowns!$E$29),VRAGENLIJST!F89,0)+IF(OR(D91=dropdowns!$B$29,D91=dropdowns!$C$29,D91=dropdowns!$D$29,D91=dropdowns!$E$29),VRAGENLIJST!F91,0)+IF(OR(D93=dropdowns!$B$29,D93=dropdowns!$C$29,D93=dropdowns!$D$29,D93=dropdowns!$E$29),VRAGENLIJST!F93,0)+IF(OR(D95=dropdowns!$B$29,D95=dropdowns!$C$29,D95=dropdowns!$D$29,D95=dropdowns!$E$29),VRAGENLIJST!F95,0)+IF(OR(D97=dropdowns!$B$29,D97=dropdowns!$C$29,D97=dropdowns!$D$29,D97=dropdowns!$E$29),VRAGENLIJST!F97,0))*0.21+F109*0.21+IF(OR(D99=dropdowns!$B$29,D99=dropdowns!$C$29,D99=dropdowns!$D$29,D99=dropdowns!$E$29),F99,0)*D166+IF(OR(D101=dropdowns!$B$29,D101=dropdowns!$C$29,D101=dropdowns!$D$29,D101=dropdowns!$E$29),F101,0)*F166+SUMIFS(F89:F97,D89:D97,"")*0.21+SUMIFS(F98:F99,D98:D99,"")*D166+SUMIFS(F100:F101,D100:D101,"")*F166</f>
        <v>0</v>
      </c>
    </row>
    <row r="112" spans="1:62" s="28" customFormat="1" ht="7.5" customHeight="1" x14ac:dyDescent="0.25">
      <c r="A112" s="208"/>
      <c r="B112" s="209"/>
      <c r="C112" s="250"/>
      <c r="D112" s="251"/>
      <c r="E112" s="255"/>
      <c r="F112" s="223"/>
      <c r="G112" s="27"/>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7"/>
      <c r="AL112" s="37"/>
      <c r="AM112" s="37"/>
      <c r="AN112" s="37"/>
      <c r="AO112" s="37"/>
      <c r="AP112" s="37"/>
      <c r="AQ112" s="37"/>
      <c r="AR112" s="37"/>
      <c r="AS112" s="37"/>
      <c r="AT112" s="37"/>
      <c r="AU112" s="37"/>
      <c r="AV112" s="37"/>
      <c r="AW112" s="37"/>
      <c r="AX112" s="38"/>
      <c r="AY112" s="38"/>
      <c r="AZ112" s="38"/>
      <c r="BA112" s="38"/>
      <c r="BB112" s="38"/>
      <c r="BC112" s="38"/>
      <c r="BD112" s="38"/>
      <c r="BE112" s="38"/>
      <c r="BF112" s="38"/>
      <c r="BG112" s="38"/>
      <c r="BH112" s="38"/>
      <c r="BI112" s="38"/>
      <c r="BJ112" s="38"/>
    </row>
    <row r="113" spans="1:62" x14ac:dyDescent="0.25">
      <c r="A113" s="201" t="s">
        <v>30</v>
      </c>
      <c r="B113" s="200" t="str">
        <f>Vertaling!A96</f>
        <v>Overbrugging, aanloopkosten en overig/onvoorzien</v>
      </c>
      <c r="E113" s="216" t="str">
        <f>Vertaling!$A$33</f>
        <v>vul bedrag in:</v>
      </c>
      <c r="F113" s="240"/>
    </row>
    <row r="114" spans="1:62" s="28" customFormat="1" x14ac:dyDescent="0.25">
      <c r="A114" s="208"/>
      <c r="B114" s="209"/>
      <c r="C114" s="250"/>
      <c r="D114" s="251"/>
      <c r="E114" s="255"/>
      <c r="F114" s="223"/>
      <c r="G114" s="27"/>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7"/>
      <c r="AL114" s="37"/>
      <c r="AM114" s="37"/>
      <c r="AN114" s="37"/>
      <c r="AO114" s="37"/>
      <c r="AP114" s="37"/>
      <c r="AQ114" s="37"/>
      <c r="AR114" s="37"/>
      <c r="AS114" s="37"/>
      <c r="AT114" s="37"/>
      <c r="AU114" s="37"/>
      <c r="AV114" s="37"/>
      <c r="AW114" s="37"/>
      <c r="AX114" s="38"/>
      <c r="AY114" s="38"/>
      <c r="AZ114" s="38"/>
      <c r="BA114" s="38"/>
      <c r="BB114" s="38"/>
      <c r="BC114" s="38"/>
      <c r="BD114" s="38"/>
      <c r="BE114" s="38"/>
      <c r="BF114" s="38"/>
      <c r="BG114" s="38"/>
      <c r="BH114" s="38"/>
      <c r="BI114" s="38"/>
      <c r="BJ114" s="38"/>
    </row>
    <row r="115" spans="1:62" x14ac:dyDescent="0.25">
      <c r="B115" s="202" t="str">
        <f>Vertaling!A97</f>
        <v>Financieringen</v>
      </c>
      <c r="E115" s="221"/>
      <c r="F115" s="215" t="str">
        <f>Vertaling!A30</f>
        <v>Antwoord:</v>
      </c>
    </row>
    <row r="116" spans="1:62" x14ac:dyDescent="0.25">
      <c r="A116" s="199" t="str">
        <f>CONCATENATE(LEFT(A86,2)+1,".")</f>
        <v>18.</v>
      </c>
      <c r="B116" s="200" t="str">
        <f>Vertaling!A98</f>
        <v>Hoeveel (spaar)geld ga je zelf inbrengen?</v>
      </c>
      <c r="E116" s="216" t="str">
        <f>Vertaling!$A$33</f>
        <v>vul bedrag in:</v>
      </c>
      <c r="F116" s="240"/>
    </row>
    <row r="117" spans="1:62" x14ac:dyDescent="0.25">
      <c r="A117" s="199"/>
      <c r="B117" s="200"/>
      <c r="E117" s="197"/>
      <c r="F117" s="196"/>
    </row>
    <row r="118" spans="1:62" ht="16.5" customHeight="1" x14ac:dyDescent="0.2">
      <c r="A118" s="199" t="str">
        <f>CONCATENATE(LEFT(A116,2)+1,".")</f>
        <v>19.</v>
      </c>
      <c r="B118" s="409" t="str">
        <f>Vertaling!A99</f>
        <v>Hoeveel geld heb je geleend en/of ga je lenen bij familie/bekenden?</v>
      </c>
      <c r="C118" s="409"/>
      <c r="D118" s="409"/>
      <c r="E118" s="216" t="str">
        <f>Vertaling!$A$33</f>
        <v>vul bedrag in:</v>
      </c>
      <c r="F118" s="240"/>
      <c r="H118" s="39"/>
    </row>
    <row r="119" spans="1:62" ht="7.5" customHeight="1" x14ac:dyDescent="0.2">
      <c r="A119" s="199"/>
      <c r="B119" s="200"/>
      <c r="E119" s="216"/>
      <c r="F119" s="253"/>
      <c r="H119" s="39"/>
    </row>
    <row r="120" spans="1:62" ht="16.5" customHeight="1" x14ac:dyDescent="0.2">
      <c r="A120" s="199"/>
      <c r="B120" s="409" t="str">
        <f>IF(VRAGENLIJST!$F$118&gt;0,Vertaling!A100,"")</f>
        <v/>
      </c>
      <c r="C120" s="409"/>
      <c r="D120" s="409"/>
      <c r="E120" s="235" t="str">
        <f>IF(VRAGENLIJST!$F$118&gt;0,Vertaling!A33,"")</f>
        <v/>
      </c>
      <c r="F120" s="240"/>
      <c r="G120" s="52"/>
      <c r="H120" s="39"/>
    </row>
    <row r="121" spans="1:62" ht="7.5" customHeight="1" x14ac:dyDescent="0.25">
      <c r="A121" s="201"/>
      <c r="B121" s="200"/>
      <c r="C121" s="235"/>
      <c r="D121" s="253"/>
      <c r="E121" s="216"/>
      <c r="F121" s="241"/>
      <c r="G121" s="23"/>
    </row>
    <row r="122" spans="1:62" ht="16.5" customHeight="1" x14ac:dyDescent="0.2">
      <c r="A122" s="199"/>
      <c r="B122" s="409" t="str">
        <f>IF(VRAGENLIJST!$F$118&gt;0,Vertaling!A101,"")</f>
        <v/>
      </c>
      <c r="C122" s="409"/>
      <c r="D122" s="409"/>
      <c r="E122" s="235" t="str">
        <f>IF(VRAGENLIJST!$F$118&gt;0,Vertaling!A33,"")</f>
        <v/>
      </c>
      <c r="F122" s="240"/>
      <c r="G122" s="23"/>
      <c r="H122" s="39"/>
    </row>
    <row r="123" spans="1:62" ht="7.5" customHeight="1" x14ac:dyDescent="0.25">
      <c r="A123" s="201"/>
      <c r="B123" s="200"/>
      <c r="C123" s="235"/>
      <c r="D123" s="253"/>
      <c r="E123" s="216"/>
      <c r="F123" s="241"/>
      <c r="G123" s="23"/>
    </row>
    <row r="124" spans="1:62" ht="16.5" customHeight="1" x14ac:dyDescent="0.2">
      <c r="A124" s="199"/>
      <c r="B124" s="200" t="str">
        <f>IF(VRAGENLIJST!$F$118&gt;0,Vertaling!A102,"")</f>
        <v/>
      </c>
      <c r="C124" s="196"/>
      <c r="D124" s="256"/>
      <c r="E124" s="235" t="str">
        <f>IF(VRAGENLIJST!$F$118&gt;0,Vertaling!A31,"")</f>
        <v/>
      </c>
      <c r="F124" s="249"/>
      <c r="G124" s="165"/>
      <c r="H124" s="39"/>
    </row>
    <row r="125" spans="1:62" ht="12.75" x14ac:dyDescent="0.2">
      <c r="A125" s="199"/>
      <c r="B125" s="200"/>
      <c r="E125" s="197"/>
      <c r="F125" s="257"/>
      <c r="H125" s="39"/>
    </row>
    <row r="126" spans="1:62" ht="16.5" customHeight="1" x14ac:dyDescent="0.2">
      <c r="A126" s="199" t="str">
        <f>CONCATENATE(LEFT(A118,2)+1,".")</f>
        <v>20.</v>
      </c>
      <c r="B126" s="409" t="str">
        <f>Vertaling!A103</f>
        <v xml:space="preserve">Hoeveel geld heb je geleend en/of ga je lenen bij overige financieringsbronnen? </v>
      </c>
      <c r="C126" s="409"/>
      <c r="D126" s="409"/>
      <c r="E126" s="216" t="str">
        <f>Vertaling!$A$33</f>
        <v>vul bedrag in:</v>
      </c>
      <c r="F126" s="240"/>
      <c r="H126" s="39"/>
    </row>
    <row r="127" spans="1:62" ht="7.5" customHeight="1" x14ac:dyDescent="0.2">
      <c r="A127" s="199"/>
      <c r="B127" s="200"/>
      <c r="E127" s="216"/>
      <c r="F127" s="258"/>
      <c r="H127" s="39"/>
    </row>
    <row r="128" spans="1:62" ht="16.5" customHeight="1" x14ac:dyDescent="0.25">
      <c r="A128" s="199"/>
      <c r="B128" s="409" t="str">
        <f>IF(VRAGENLIJST!$F$126&gt;0,Vertaling!A104,"")</f>
        <v/>
      </c>
      <c r="C128" s="409"/>
      <c r="D128" s="409"/>
      <c r="E128" s="235" t="str">
        <f>IF(VRAGENLIJST!$F$126&gt;0,Vertaling!A33,"")</f>
        <v/>
      </c>
      <c r="F128" s="240"/>
      <c r="G128" s="52"/>
    </row>
    <row r="129" spans="1:8" ht="7.5" customHeight="1" x14ac:dyDescent="0.25">
      <c r="A129" s="201"/>
      <c r="B129" s="200"/>
      <c r="C129" s="235"/>
      <c r="D129" s="253"/>
      <c r="E129" s="216"/>
      <c r="F129" s="241"/>
      <c r="G129" s="23"/>
    </row>
    <row r="130" spans="1:8" ht="16.5" customHeight="1" x14ac:dyDescent="0.25">
      <c r="A130" s="199"/>
      <c r="B130" s="409" t="str">
        <f>IF(VRAGENLIJST!$F$126&gt;0,Vertaling!A105,"")</f>
        <v/>
      </c>
      <c r="C130" s="409"/>
      <c r="D130" s="409"/>
      <c r="E130" s="235" t="str">
        <f>IF(VRAGENLIJST!$F$126&gt;0,Vertaling!A33,"")</f>
        <v/>
      </c>
      <c r="F130" s="240"/>
      <c r="G130" s="23"/>
    </row>
    <row r="131" spans="1:8" ht="7.5" customHeight="1" x14ac:dyDescent="0.25">
      <c r="A131" s="201"/>
      <c r="B131" s="200"/>
      <c r="C131" s="235"/>
      <c r="D131" s="253"/>
      <c r="E131" s="216"/>
      <c r="F131" s="241"/>
      <c r="G131" s="23"/>
    </row>
    <row r="132" spans="1:8" ht="15" customHeight="1" x14ac:dyDescent="0.2">
      <c r="A132" s="199"/>
      <c r="B132" s="200" t="str">
        <f>IF(VRAGENLIJST!$F$126&gt;0,Vertaling!A106,"")</f>
        <v/>
      </c>
      <c r="C132" s="196"/>
      <c r="D132" s="256"/>
      <c r="E132" s="235" t="str">
        <f>IF(VRAGENLIJST!$F$126&gt;0,Vertaling!A31,"")</f>
        <v/>
      </c>
      <c r="F132" s="249"/>
      <c r="G132" s="165"/>
      <c r="H132" s="39"/>
    </row>
    <row r="133" spans="1:8" x14ac:dyDescent="0.25">
      <c r="F133" s="257"/>
    </row>
    <row r="135" spans="1:8" x14ac:dyDescent="0.25">
      <c r="B135" s="202" t="str">
        <f>Vertaling!A107</f>
        <v>Maandelijkse indirecte kosten</v>
      </c>
      <c r="E135" s="221"/>
    </row>
    <row r="136" spans="1:8" x14ac:dyDescent="0.25">
      <c r="A136" s="199" t="str">
        <f>CONCATENATE(LEFT(A126,2)+1,".")</f>
        <v>21.</v>
      </c>
      <c r="B136" s="200" t="str">
        <f>Vertaling!A108</f>
        <v>Hoe hoog zijn de maandelijkse kosten?</v>
      </c>
      <c r="E136" s="221"/>
      <c r="F136" s="215" t="str">
        <f>Vertaling!$A$30</f>
        <v>Antwoord:</v>
      </c>
    </row>
    <row r="137" spans="1:8" ht="16.5" customHeight="1" x14ac:dyDescent="0.25">
      <c r="A137" s="201" t="s">
        <v>30</v>
      </c>
      <c r="B137" s="409" t="str">
        <f>Vertaling!A109</f>
        <v>Personeel (let op: bruto personeelslasten, dus inclusief premies en belastingen)</v>
      </c>
      <c r="C137" s="409"/>
      <c r="D137" s="409"/>
      <c r="E137" s="216" t="str">
        <f>Vertaling!$A$33</f>
        <v>vul bedrag in:</v>
      </c>
      <c r="F137" s="240"/>
    </row>
    <row r="138" spans="1:8" ht="7.5" customHeight="1" x14ac:dyDescent="0.25">
      <c r="A138" s="201"/>
      <c r="B138" s="200"/>
      <c r="C138" s="216"/>
      <c r="D138" s="241"/>
      <c r="F138" s="215"/>
      <c r="G138" s="24"/>
    </row>
    <row r="139" spans="1:8" ht="16.5" customHeight="1" x14ac:dyDescent="0.25">
      <c r="A139" s="201"/>
      <c r="B139" s="200" t="str">
        <f>IF(VRAGENLIJST!$F$137&gt;0,Vertaling!A110,"")</f>
        <v/>
      </c>
      <c r="C139" s="196"/>
      <c r="D139" s="256"/>
      <c r="E139" s="235" t="str">
        <f>IF(VRAGENLIJST!$F$137&gt;0,Vertaling!A31,"")</f>
        <v/>
      </c>
      <c r="F139" s="249"/>
      <c r="G139" s="24"/>
    </row>
    <row r="140" spans="1:8" ht="7.5" customHeight="1" x14ac:dyDescent="0.25">
      <c r="B140" s="200"/>
      <c r="D140" s="223"/>
      <c r="E140" s="235"/>
      <c r="F140" s="257"/>
    </row>
    <row r="141" spans="1:8" ht="16.5" customHeight="1" x14ac:dyDescent="0.25">
      <c r="A141" s="201" t="s">
        <v>30</v>
      </c>
      <c r="B141" s="409" t="str">
        <f>Vertaling!A111</f>
        <v>Huisvesting (huur, schoonmaak, onderhoud)</v>
      </c>
      <c r="C141" s="409"/>
      <c r="D141" s="409"/>
      <c r="E141" s="216" t="str">
        <f>Vertaling!$A$33</f>
        <v>vul bedrag in:</v>
      </c>
      <c r="F141" s="240"/>
    </row>
    <row r="142" spans="1:8" ht="7.5" customHeight="1" x14ac:dyDescent="0.25">
      <c r="A142" s="201"/>
      <c r="B142" s="200"/>
      <c r="C142" s="216"/>
      <c r="D142" s="241"/>
      <c r="E142" s="216"/>
      <c r="F142" s="241"/>
      <c r="G142" s="24"/>
    </row>
    <row r="143" spans="1:8" ht="16.5" customHeight="1" x14ac:dyDescent="0.25">
      <c r="A143" s="201"/>
      <c r="B143" s="200" t="str">
        <f>IF(VRAGENLIJST!$F$141&gt;0,Vertaling!A112,"")</f>
        <v/>
      </c>
      <c r="C143" s="196"/>
      <c r="D143" s="256"/>
      <c r="E143" s="235" t="str">
        <f>IF(VRAGENLIJST!$F$141&gt;0,Vertaling!A31,"")</f>
        <v/>
      </c>
      <c r="F143" s="249"/>
      <c r="G143" s="24"/>
    </row>
    <row r="144" spans="1:8" ht="7.5" customHeight="1" x14ac:dyDescent="0.25">
      <c r="B144" s="200"/>
      <c r="E144" s="235"/>
      <c r="F144" s="257"/>
    </row>
    <row r="145" spans="1:7" ht="16.5" customHeight="1" x14ac:dyDescent="0.25">
      <c r="A145" s="201" t="s">
        <v>30</v>
      </c>
      <c r="B145" s="409" t="str">
        <f>Vertaling!A113</f>
        <v>Vervoer/verblijf (brandstof, onderhoud, parkeren, verzekeringen)</v>
      </c>
      <c r="C145" s="409"/>
      <c r="D145" s="409"/>
      <c r="E145" s="216" t="str">
        <f>Vertaling!$A$33</f>
        <v>vul bedrag in:</v>
      </c>
      <c r="F145" s="240"/>
      <c r="G145" s="23"/>
    </row>
    <row r="146" spans="1:7" ht="7.5" customHeight="1" x14ac:dyDescent="0.25">
      <c r="B146" s="200"/>
      <c r="C146" s="235"/>
      <c r="D146" s="253"/>
      <c r="E146" s="235"/>
      <c r="F146" s="253"/>
      <c r="G146" s="23"/>
    </row>
    <row r="147" spans="1:7" ht="16.5" customHeight="1" x14ac:dyDescent="0.25">
      <c r="A147" s="201" t="s">
        <v>30</v>
      </c>
      <c r="B147" s="409" t="str">
        <f>Vertaling!A114</f>
        <v>Promotie/reclame (onderhoudskosten website, domeinnaam, Google Ads)</v>
      </c>
      <c r="C147" s="409"/>
      <c r="D147" s="409"/>
      <c r="E147" s="216" t="str">
        <f>Vertaling!$A$33</f>
        <v>vul bedrag in:</v>
      </c>
      <c r="F147" s="240"/>
      <c r="G147" s="23"/>
    </row>
    <row r="148" spans="1:7" ht="7.5" customHeight="1" x14ac:dyDescent="0.25">
      <c r="B148" s="200"/>
      <c r="E148" s="235"/>
      <c r="F148" s="257"/>
    </row>
    <row r="149" spans="1:7" ht="16.5" customHeight="1" x14ac:dyDescent="0.25">
      <c r="A149" s="201" t="s">
        <v>30</v>
      </c>
      <c r="B149" s="409" t="str">
        <f>Vertaling!A116</f>
        <v>Verzekeringen (aansprakelijkheid, arbeidsongeschiktheid, inboedel)</v>
      </c>
      <c r="C149" s="409"/>
      <c r="D149" s="409"/>
      <c r="E149" s="216" t="str">
        <f>Vertaling!$A$33</f>
        <v>vul bedrag in:</v>
      </c>
      <c r="F149" s="240"/>
      <c r="G149" s="23"/>
    </row>
    <row r="150" spans="1:7" ht="7.5" customHeight="1" x14ac:dyDescent="0.25">
      <c r="B150" s="200"/>
      <c r="E150" s="235"/>
      <c r="F150" s="253"/>
    </row>
    <row r="151" spans="1:7" ht="16.5" customHeight="1" x14ac:dyDescent="0.25">
      <c r="A151" s="201" t="s">
        <v>30</v>
      </c>
      <c r="B151" s="409" t="str">
        <f>Vertaling!A117</f>
        <v>Administratiekosten (accountant, adviseur, boekhoudpakket)</v>
      </c>
      <c r="C151" s="409"/>
      <c r="D151" s="409"/>
      <c r="E151" s="216" t="str">
        <f>Vertaling!$A$33</f>
        <v>vul bedrag in:</v>
      </c>
      <c r="F151" s="240"/>
      <c r="G151" s="23"/>
    </row>
    <row r="152" spans="1:7" ht="7.5" customHeight="1" x14ac:dyDescent="0.25">
      <c r="B152" s="200"/>
      <c r="E152" s="235"/>
      <c r="F152" s="253"/>
    </row>
    <row r="153" spans="1:7" ht="16.5" customHeight="1" x14ac:dyDescent="0.25">
      <c r="A153" s="201" t="s">
        <v>30</v>
      </c>
      <c r="B153" s="409" t="str">
        <f>Vertaling!A118</f>
        <v>Abonnementen (telefoon, internet, vakbladen, brancheverenigingen, KVK, accountant, adviseur)</v>
      </c>
      <c r="C153" s="409"/>
      <c r="D153" s="409"/>
      <c r="E153" s="216" t="str">
        <f>Vertaling!$A$33</f>
        <v>vul bedrag in:</v>
      </c>
      <c r="F153" s="240"/>
      <c r="G153" s="23"/>
    </row>
    <row r="154" spans="1:7" ht="7.5" customHeight="1" x14ac:dyDescent="0.25">
      <c r="B154" s="200"/>
      <c r="E154" s="235"/>
      <c r="F154" s="253"/>
    </row>
    <row r="155" spans="1:7" ht="16.5" customHeight="1" x14ac:dyDescent="0.25">
      <c r="A155" s="201" t="s">
        <v>30</v>
      </c>
      <c r="B155" s="409" t="str">
        <f>Vertaling!A119</f>
        <v>Kantoorartikelen ((brief-)papier, cartridges, postzegels)</v>
      </c>
      <c r="C155" s="409"/>
      <c r="D155" s="409"/>
      <c r="E155" s="216" t="str">
        <f>Vertaling!$A$33</f>
        <v>vul bedrag in:</v>
      </c>
      <c r="F155" s="240"/>
      <c r="G155" s="23"/>
    </row>
    <row r="156" spans="1:7" ht="7.5" customHeight="1" x14ac:dyDescent="0.25">
      <c r="B156" s="200"/>
      <c r="E156" s="235"/>
      <c r="F156" s="253"/>
    </row>
    <row r="157" spans="1:7" ht="16.5" customHeight="1" x14ac:dyDescent="0.25">
      <c r="A157" s="201" t="s">
        <v>30</v>
      </c>
      <c r="B157" s="409" t="str">
        <f>Vertaling!A120</f>
        <v>Overig</v>
      </c>
      <c r="C157" s="409"/>
      <c r="D157" s="409"/>
      <c r="E157" s="216" t="str">
        <f>Vertaling!$A$33</f>
        <v>vul bedrag in:</v>
      </c>
      <c r="F157" s="240"/>
      <c r="G157" s="23"/>
    </row>
    <row r="158" spans="1:7" x14ac:dyDescent="0.25">
      <c r="E158" s="216"/>
    </row>
    <row r="159" spans="1:7" x14ac:dyDescent="0.25">
      <c r="B159" s="202" t="str">
        <f>Vertaling!A121</f>
        <v>Maandelijkse directe kosten</v>
      </c>
      <c r="C159" s="221"/>
      <c r="D159" s="215" t="s">
        <v>31</v>
      </c>
      <c r="E159" s="216"/>
      <c r="F159" s="215" t="s">
        <v>32</v>
      </c>
      <c r="G159" s="175"/>
    </row>
    <row r="160" spans="1:7" ht="16.5" customHeight="1" x14ac:dyDescent="0.25">
      <c r="A160" s="199" t="str">
        <f>CONCATENATE(LEFT(A136,2)+1,".")</f>
        <v>22.</v>
      </c>
      <c r="B160" s="203" t="str">
        <f>Vertaling!A122</f>
        <v>Koop je producten in die je, eventueel na bewerking, weer verkoopt?</v>
      </c>
      <c r="C160" s="216" t="str">
        <f>Vertaling!A31</f>
        <v>selecteer:</v>
      </c>
      <c r="D160" s="249"/>
      <c r="E160" s="216" t="str">
        <f>Vertaling!$A$31</f>
        <v>selecteer:</v>
      </c>
      <c r="F160" s="249"/>
      <c r="G160" s="175"/>
    </row>
    <row r="161" spans="1:65" ht="7.5" customHeight="1" x14ac:dyDescent="0.25">
      <c r="B161" s="200"/>
      <c r="C161" s="235"/>
      <c r="D161" s="253"/>
      <c r="E161" s="235"/>
      <c r="F161" s="253"/>
      <c r="G161" s="175"/>
    </row>
    <row r="162" spans="1:65" x14ac:dyDescent="0.25">
      <c r="B162" s="210"/>
      <c r="C162" s="410" t="str">
        <f>Vertaling!A123</f>
        <v>Als je meer dan twee producten verkoopt, probeer deze in twee groepen in te delen</v>
      </c>
      <c r="D162" s="410"/>
      <c r="E162" s="410"/>
      <c r="F162" s="410"/>
      <c r="G162" s="410"/>
    </row>
    <row r="163" spans="1:65" ht="7.5" customHeight="1" x14ac:dyDescent="0.25">
      <c r="B163" s="200"/>
      <c r="C163" s="235"/>
      <c r="D163" s="253"/>
      <c r="E163" s="235"/>
      <c r="F163" s="253"/>
      <c r="G163" s="175"/>
    </row>
    <row r="164" spans="1:65" ht="16.5" customHeight="1" x14ac:dyDescent="0.25">
      <c r="A164" s="199" t="str">
        <f>CONCATENATE(LEFT(A160,2)+1,".")</f>
        <v>23.</v>
      </c>
      <c r="B164" s="200" t="str">
        <f>IF(OR(VRAGENLIJST!$D$160=dropdowns!$B$24,VRAGENLIJST!$F$160=dropdowns!$C$24),Vertaling!A124,"")</f>
        <v/>
      </c>
      <c r="C164" s="216" t="str">
        <f>IF(OR(VRAGENLIJST!$D$160=dropdowns!$B$24,VRAGENLIJST!$D$160=dropdowns!$C$24),Vertaling!A35,"")</f>
        <v/>
      </c>
      <c r="D164" s="259"/>
      <c r="E164" s="216" t="str">
        <f>IF(OR(VRAGENLIJST!$F$160=dropdowns!$B$24,VRAGENLIJST!$F$160=dropdowns!$C$24),Vertaling!A35,"")</f>
        <v/>
      </c>
      <c r="F164" s="259"/>
      <c r="G164" s="175"/>
    </row>
    <row r="165" spans="1:65" ht="7.5" customHeight="1" x14ac:dyDescent="0.25">
      <c r="B165" s="200"/>
      <c r="C165" s="235"/>
      <c r="D165" s="253"/>
      <c r="E165" s="235"/>
      <c r="F165" s="253"/>
      <c r="G165" s="175"/>
    </row>
    <row r="166" spans="1:65" ht="16.5" customHeight="1" x14ac:dyDescent="0.25">
      <c r="A166" s="199" t="str">
        <f>CONCATENATE(LEFT(A164,2)+1,".")</f>
        <v>24.</v>
      </c>
      <c r="B166" s="200" t="str">
        <f>IF(OR(VRAGENLIJST!$D$160=dropdowns!$B$24,VRAGENLIJST!$F$160=dropdowns!$C$24),Vertaling!A125,"")</f>
        <v/>
      </c>
      <c r="C166" s="216" t="str">
        <f>IF(OR(VRAGENLIJST!$D$160=dropdowns!$B$24,VRAGENLIJST!$D$160=dropdowns!$C$24),Vertaling!A31,"")</f>
        <v/>
      </c>
      <c r="D166" s="259"/>
      <c r="E166" s="216" t="str">
        <f>IF(OR(VRAGENLIJST!$F$160=dropdowns!$B$24,VRAGENLIJST!$F$160=dropdowns!$C$24),Vertaling!A31,"")</f>
        <v/>
      </c>
      <c r="F166" s="259"/>
      <c r="G166" s="175"/>
    </row>
    <row r="167" spans="1:65" ht="7.5" customHeight="1" x14ac:dyDescent="0.25">
      <c r="B167" s="200"/>
      <c r="C167" s="235"/>
      <c r="D167" s="253"/>
      <c r="E167" s="235"/>
      <c r="F167" s="253"/>
      <c r="G167" s="175"/>
    </row>
    <row r="168" spans="1:65" ht="16.5" customHeight="1" x14ac:dyDescent="0.25">
      <c r="A168" s="199" t="str">
        <f>CONCATENATE(LEFT(A166,2)+1,".")</f>
        <v>25.</v>
      </c>
      <c r="B168" s="200" t="str">
        <f>IF(OR(VRAGENLIJST!$D$160=dropdowns!$B$24,VRAGENLIJST!$F$160=dropdowns!$C$24),Vertaling!A126,"")</f>
        <v/>
      </c>
      <c r="C168" s="216" t="str">
        <f>IF(OR(VRAGENLIJST!$D$160=dropdowns!$B$24,VRAGENLIJST!$D$160=dropdowns!$C$24),Vertaling!A31,"")</f>
        <v/>
      </c>
      <c r="D168" s="259"/>
      <c r="E168" s="216" t="str">
        <f>IF(OR(VRAGENLIJST!$F$160=dropdowns!$B$24,VRAGENLIJST!$F$160=dropdowns!$C$24),Vertaling!A31,"")</f>
        <v/>
      </c>
      <c r="F168" s="259"/>
      <c r="G168" s="175"/>
    </row>
    <row r="169" spans="1:65" ht="16.5" customHeight="1" x14ac:dyDescent="0.25">
      <c r="B169" s="200"/>
    </row>
    <row r="170" spans="1:65" hidden="1" x14ac:dyDescent="0.25">
      <c r="B170" s="202" t="str">
        <f>Vertaling!A122</f>
        <v>Koop je producten in die je, eventueel na bewerking, weer verkoopt?</v>
      </c>
      <c r="E170" s="221"/>
    </row>
    <row r="171" spans="1:65" ht="15.75" hidden="1" customHeight="1" thickBot="1" x14ac:dyDescent="0.3">
      <c r="A171" s="199" t="str">
        <f>CONCATENATE(LEFT(A168,2)+1,".")</f>
        <v>26.</v>
      </c>
      <c r="B171" s="200" t="s">
        <v>35</v>
      </c>
      <c r="C171" s="222"/>
      <c r="D171" s="215" t="s">
        <v>36</v>
      </c>
      <c r="F171" s="215" t="s">
        <v>36</v>
      </c>
      <c r="G171" s="23"/>
      <c r="I171" s="34"/>
    </row>
    <row r="172" spans="1:65" s="26" customFormat="1" ht="16.5" hidden="1" thickTop="1" thickBot="1" x14ac:dyDescent="0.3">
      <c r="A172" s="193" t="s">
        <v>30</v>
      </c>
      <c r="B172" s="200" t="s">
        <v>37</v>
      </c>
      <c r="C172" s="216" t="s">
        <v>38</v>
      </c>
      <c r="D172" s="260">
        <f>D206*$D$164</f>
        <v>0</v>
      </c>
      <c r="E172" s="216" t="s">
        <v>38</v>
      </c>
      <c r="F172" s="260">
        <f>F206*$F$164</f>
        <v>0</v>
      </c>
      <c r="G172" s="2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25"/>
      <c r="BL172" s="25"/>
      <c r="BM172" s="25"/>
    </row>
    <row r="173" spans="1:65" ht="7.5" hidden="1" customHeight="1" thickTop="1" thickBot="1" x14ac:dyDescent="0.3">
      <c r="A173" s="201"/>
      <c r="B173" s="200"/>
      <c r="C173" s="216"/>
      <c r="D173" s="241"/>
      <c r="E173" s="216"/>
      <c r="F173" s="241"/>
      <c r="G173" s="23"/>
    </row>
    <row r="174" spans="1:65" s="26" customFormat="1" ht="16.5" hidden="1" thickTop="1" thickBot="1" x14ac:dyDescent="0.3">
      <c r="A174" s="193" t="s">
        <v>30</v>
      </c>
      <c r="B174" s="200" t="s">
        <v>39</v>
      </c>
      <c r="C174" s="216" t="s">
        <v>38</v>
      </c>
      <c r="D174" s="260">
        <f>D208*$D$164</f>
        <v>0</v>
      </c>
      <c r="E174" s="216" t="s">
        <v>38</v>
      </c>
      <c r="F174" s="260">
        <f>F208*$F$164</f>
        <v>0</v>
      </c>
      <c r="G174" s="2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25"/>
      <c r="BL174" s="25"/>
      <c r="BM174" s="25"/>
    </row>
    <row r="175" spans="1:65" ht="7.5" hidden="1" customHeight="1" thickTop="1" thickBot="1" x14ac:dyDescent="0.3">
      <c r="A175" s="201"/>
      <c r="B175" s="200"/>
      <c r="C175" s="216"/>
      <c r="D175" s="241"/>
      <c r="E175" s="216"/>
      <c r="F175" s="241"/>
      <c r="G175" s="23"/>
    </row>
    <row r="176" spans="1:65" s="26" customFormat="1" ht="16.5" hidden="1" thickTop="1" thickBot="1" x14ac:dyDescent="0.3">
      <c r="A176" s="199" t="s">
        <v>30</v>
      </c>
      <c r="B176" s="200" t="s">
        <v>40</v>
      </c>
      <c r="C176" s="216" t="s">
        <v>38</v>
      </c>
      <c r="D176" s="260">
        <f>D210*$D$164</f>
        <v>0</v>
      </c>
      <c r="E176" s="216" t="s">
        <v>38</v>
      </c>
      <c r="F176" s="260">
        <f>F210*$F$164</f>
        <v>0</v>
      </c>
      <c r="G176" s="2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25"/>
      <c r="BL176" s="25"/>
      <c r="BM176" s="25"/>
    </row>
    <row r="177" spans="1:65" ht="7.5" hidden="1" customHeight="1" thickTop="1" thickBot="1" x14ac:dyDescent="0.3">
      <c r="A177" s="201"/>
      <c r="B177" s="200"/>
      <c r="C177" s="216"/>
      <c r="D177" s="241"/>
      <c r="E177" s="216"/>
      <c r="F177" s="241"/>
      <c r="G177" s="23"/>
    </row>
    <row r="178" spans="1:65" s="26" customFormat="1" ht="16.5" hidden="1" thickTop="1" thickBot="1" x14ac:dyDescent="0.3">
      <c r="A178" s="199" t="s">
        <v>30</v>
      </c>
      <c r="B178" s="200" t="s">
        <v>41</v>
      </c>
      <c r="C178" s="216" t="s">
        <v>38</v>
      </c>
      <c r="D178" s="260">
        <f>D212*$D$164</f>
        <v>0</v>
      </c>
      <c r="E178" s="216" t="s">
        <v>38</v>
      </c>
      <c r="F178" s="260">
        <f>F212*$F$164</f>
        <v>0</v>
      </c>
      <c r="G178" s="2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25"/>
      <c r="BL178" s="25"/>
      <c r="BM178" s="25"/>
    </row>
    <row r="179" spans="1:65" ht="7.5" hidden="1" customHeight="1" thickTop="1" thickBot="1" x14ac:dyDescent="0.3">
      <c r="A179" s="201"/>
      <c r="B179" s="200"/>
      <c r="C179" s="216"/>
      <c r="D179" s="241"/>
      <c r="E179" s="216"/>
      <c r="F179" s="241"/>
      <c r="G179" s="23"/>
    </row>
    <row r="180" spans="1:65" s="26" customFormat="1" ht="16.5" hidden="1" thickTop="1" thickBot="1" x14ac:dyDescent="0.3">
      <c r="A180" s="199" t="s">
        <v>30</v>
      </c>
      <c r="B180" s="200" t="s">
        <v>42</v>
      </c>
      <c r="C180" s="216" t="s">
        <v>38</v>
      </c>
      <c r="D180" s="260">
        <f>D214*$D$164</f>
        <v>0</v>
      </c>
      <c r="E180" s="216" t="s">
        <v>38</v>
      </c>
      <c r="F180" s="260">
        <f>F214*$F$164</f>
        <v>0</v>
      </c>
      <c r="G180" s="2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25"/>
      <c r="BL180" s="25"/>
      <c r="BM180" s="25"/>
    </row>
    <row r="181" spans="1:65" ht="7.5" hidden="1" customHeight="1" thickTop="1" thickBot="1" x14ac:dyDescent="0.3">
      <c r="A181" s="201"/>
      <c r="B181" s="200"/>
      <c r="C181" s="216"/>
      <c r="D181" s="241"/>
      <c r="E181" s="216"/>
      <c r="F181" s="241"/>
      <c r="G181" s="23"/>
    </row>
    <row r="182" spans="1:65" s="26" customFormat="1" ht="16.5" hidden="1" thickTop="1" thickBot="1" x14ac:dyDescent="0.3">
      <c r="A182" s="199" t="s">
        <v>30</v>
      </c>
      <c r="B182" s="200" t="s">
        <v>43</v>
      </c>
      <c r="C182" s="216" t="s">
        <v>38</v>
      </c>
      <c r="D182" s="260">
        <f>D216*$D$164</f>
        <v>0</v>
      </c>
      <c r="E182" s="216" t="s">
        <v>38</v>
      </c>
      <c r="F182" s="260">
        <f>F216*$F$164</f>
        <v>0</v>
      </c>
      <c r="G182" s="2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25"/>
      <c r="BL182" s="25"/>
      <c r="BM182" s="25"/>
    </row>
    <row r="183" spans="1:65" ht="7.5" hidden="1" customHeight="1" thickTop="1" thickBot="1" x14ac:dyDescent="0.3">
      <c r="A183" s="201"/>
      <c r="B183" s="200"/>
      <c r="C183" s="216"/>
      <c r="D183" s="241"/>
      <c r="E183" s="216"/>
      <c r="F183" s="241"/>
      <c r="G183" s="23"/>
    </row>
    <row r="184" spans="1:65" s="26" customFormat="1" ht="16.5" hidden="1" thickTop="1" thickBot="1" x14ac:dyDescent="0.3">
      <c r="A184" s="199" t="s">
        <v>30</v>
      </c>
      <c r="B184" s="200" t="s">
        <v>44</v>
      </c>
      <c r="C184" s="216" t="s">
        <v>38</v>
      </c>
      <c r="D184" s="260">
        <f>D218*$D$164</f>
        <v>0</v>
      </c>
      <c r="E184" s="216" t="s">
        <v>38</v>
      </c>
      <c r="F184" s="260">
        <f>F218*$F$164</f>
        <v>0</v>
      </c>
      <c r="G184" s="2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25"/>
      <c r="BL184" s="25"/>
      <c r="BM184" s="25"/>
    </row>
    <row r="185" spans="1:65" ht="7.5" hidden="1" customHeight="1" thickTop="1" thickBot="1" x14ac:dyDescent="0.3">
      <c r="A185" s="201"/>
      <c r="B185" s="200"/>
      <c r="C185" s="216"/>
      <c r="D185" s="241"/>
      <c r="E185" s="216"/>
      <c r="F185" s="241"/>
      <c r="G185" s="23"/>
    </row>
    <row r="186" spans="1:65" s="26" customFormat="1" ht="16.5" hidden="1" thickTop="1" thickBot="1" x14ac:dyDescent="0.3">
      <c r="A186" s="199" t="s">
        <v>30</v>
      </c>
      <c r="B186" s="200" t="s">
        <v>45</v>
      </c>
      <c r="C186" s="216" t="s">
        <v>38</v>
      </c>
      <c r="D186" s="260">
        <f>D220*$D$164</f>
        <v>0</v>
      </c>
      <c r="E186" s="216" t="s">
        <v>38</v>
      </c>
      <c r="F186" s="260">
        <f>F220*$F$164</f>
        <v>0</v>
      </c>
      <c r="G186" s="2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25"/>
      <c r="BL186" s="25"/>
      <c r="BM186" s="25"/>
    </row>
    <row r="187" spans="1:65" ht="7.5" hidden="1" customHeight="1" thickTop="1" thickBot="1" x14ac:dyDescent="0.3">
      <c r="A187" s="201"/>
      <c r="B187" s="200"/>
      <c r="C187" s="216"/>
      <c r="D187" s="241"/>
      <c r="E187" s="216"/>
      <c r="F187" s="241"/>
      <c r="G187" s="23"/>
    </row>
    <row r="188" spans="1:65" s="26" customFormat="1" ht="16.5" hidden="1" thickTop="1" thickBot="1" x14ac:dyDescent="0.3">
      <c r="A188" s="199" t="s">
        <v>30</v>
      </c>
      <c r="B188" s="200" t="s">
        <v>46</v>
      </c>
      <c r="C188" s="216" t="s">
        <v>38</v>
      </c>
      <c r="D188" s="260">
        <f>D222*$D$164</f>
        <v>0</v>
      </c>
      <c r="E188" s="216" t="s">
        <v>38</v>
      </c>
      <c r="F188" s="260">
        <f>F222*$F$164</f>
        <v>0</v>
      </c>
      <c r="G188" s="2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25"/>
      <c r="BL188" s="25"/>
      <c r="BM188" s="25"/>
    </row>
    <row r="189" spans="1:65" ht="7.5" hidden="1" customHeight="1" thickTop="1" thickBot="1" x14ac:dyDescent="0.3">
      <c r="A189" s="201"/>
      <c r="B189" s="200"/>
      <c r="C189" s="216"/>
      <c r="D189" s="241"/>
      <c r="E189" s="216"/>
      <c r="F189" s="241"/>
      <c r="G189" s="23"/>
    </row>
    <row r="190" spans="1:65" s="26" customFormat="1" ht="16.5" hidden="1" thickTop="1" thickBot="1" x14ac:dyDescent="0.3">
      <c r="A190" s="199" t="s">
        <v>30</v>
      </c>
      <c r="B190" s="200" t="s">
        <v>47</v>
      </c>
      <c r="C190" s="216" t="s">
        <v>38</v>
      </c>
      <c r="D190" s="260">
        <f>D224*$D$164</f>
        <v>0</v>
      </c>
      <c r="E190" s="216" t="s">
        <v>38</v>
      </c>
      <c r="F190" s="260">
        <f>F224*$F$164</f>
        <v>0</v>
      </c>
      <c r="G190" s="2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25"/>
      <c r="BL190" s="25"/>
      <c r="BM190" s="25"/>
    </row>
    <row r="191" spans="1:65" ht="7.5" hidden="1" customHeight="1" thickTop="1" thickBot="1" x14ac:dyDescent="0.3">
      <c r="A191" s="201"/>
      <c r="B191" s="200"/>
      <c r="C191" s="216"/>
      <c r="D191" s="241"/>
      <c r="E191" s="216"/>
      <c r="F191" s="241"/>
      <c r="G191" s="23"/>
    </row>
    <row r="192" spans="1:65" s="26" customFormat="1" ht="16.5" hidden="1" thickTop="1" thickBot="1" x14ac:dyDescent="0.3">
      <c r="A192" s="199" t="s">
        <v>30</v>
      </c>
      <c r="B192" s="200" t="s">
        <v>48</v>
      </c>
      <c r="C192" s="216" t="s">
        <v>38</v>
      </c>
      <c r="D192" s="260">
        <f>D226*$D$164</f>
        <v>0</v>
      </c>
      <c r="E192" s="216" t="s">
        <v>38</v>
      </c>
      <c r="F192" s="260">
        <f>F226*$F$164</f>
        <v>0</v>
      </c>
      <c r="G192" s="2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25"/>
      <c r="BL192" s="25"/>
      <c r="BM192" s="25"/>
    </row>
    <row r="193" spans="1:65" ht="7.5" hidden="1" customHeight="1" thickTop="1" thickBot="1" x14ac:dyDescent="0.3">
      <c r="A193" s="201"/>
      <c r="B193" s="200"/>
      <c r="C193" s="216"/>
      <c r="D193" s="241"/>
      <c r="E193" s="216"/>
      <c r="F193" s="241"/>
      <c r="G193" s="23"/>
    </row>
    <row r="194" spans="1:65" s="26" customFormat="1" ht="16.5" hidden="1" thickTop="1" thickBot="1" x14ac:dyDescent="0.3">
      <c r="A194" s="199" t="s">
        <v>30</v>
      </c>
      <c r="B194" s="200" t="s">
        <v>49</v>
      </c>
      <c r="C194" s="216" t="s">
        <v>38</v>
      </c>
      <c r="D194" s="260">
        <f>D228*$D$164</f>
        <v>0</v>
      </c>
      <c r="E194" s="216" t="s">
        <v>38</v>
      </c>
      <c r="F194" s="260">
        <f>F228*$F$164</f>
        <v>0</v>
      </c>
      <c r="G194" s="2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25"/>
      <c r="BL194" s="25"/>
      <c r="BM194" s="25"/>
    </row>
    <row r="195" spans="1:65" ht="15.75" hidden="1" thickTop="1" x14ac:dyDescent="0.25">
      <c r="D195" s="241"/>
      <c r="F195" s="230"/>
    </row>
    <row r="196" spans="1:65" x14ac:dyDescent="0.25">
      <c r="F196" s="230"/>
    </row>
    <row r="197" spans="1:65" x14ac:dyDescent="0.25">
      <c r="B197" s="202" t="str">
        <f>Vertaling!A127</f>
        <v>Inkomsten</v>
      </c>
      <c r="C197" s="261"/>
      <c r="D197" s="215" t="s">
        <v>31</v>
      </c>
      <c r="F197" s="215" t="s">
        <v>32</v>
      </c>
      <c r="G197" s="53"/>
    </row>
    <row r="198" spans="1:65" ht="16.5" hidden="1" customHeight="1" x14ac:dyDescent="0.25">
      <c r="A198" s="199" t="str">
        <f>CONCATENATE(LEFT(A171,2)+1,".")</f>
        <v>27.</v>
      </c>
      <c r="B198" s="200" t="s">
        <v>50</v>
      </c>
      <c r="C198" s="216" t="s">
        <v>38</v>
      </c>
      <c r="D198" s="262" t="e">
        <f>IF(#REF!="",0,#REF!)</f>
        <v>#REF!</v>
      </c>
      <c r="E198" s="216" t="s">
        <v>38</v>
      </c>
      <c r="F198" s="262" t="e">
        <f>IF(#REF!="",0,#REF!)</f>
        <v>#REF!</v>
      </c>
    </row>
    <row r="199" spans="1:65" ht="7.5" hidden="1" customHeight="1" x14ac:dyDescent="0.25">
      <c r="B199" s="200"/>
      <c r="C199" s="235"/>
      <c r="D199" s="253"/>
      <c r="E199" s="235"/>
      <c r="F199" s="253"/>
    </row>
    <row r="200" spans="1:65" ht="16.5" customHeight="1" x14ac:dyDescent="0.25">
      <c r="A200" s="199" t="str">
        <f>CONCATENATE(LEFT(A168,2)+1,".")</f>
        <v>26.</v>
      </c>
      <c r="B200" s="200" t="str">
        <f>Vertaling!A128</f>
        <v>Welk btw-tarief is van toepassing op de verkoopprijs?</v>
      </c>
      <c r="C200" s="216" t="str">
        <f>Vertaling!A31</f>
        <v>selecteer:</v>
      </c>
      <c r="D200" s="259"/>
      <c r="E200" s="216" t="str">
        <f>Vertaling!A31</f>
        <v>selecteer:</v>
      </c>
      <c r="F200" s="259"/>
      <c r="G200" s="50"/>
    </row>
    <row r="201" spans="1:65" ht="7.5" customHeight="1" x14ac:dyDescent="0.25">
      <c r="B201" s="200"/>
      <c r="C201" s="235"/>
      <c r="D201" s="253"/>
      <c r="E201" s="235"/>
      <c r="F201" s="253"/>
    </row>
    <row r="202" spans="1:65" ht="16.5" customHeight="1" x14ac:dyDescent="0.25">
      <c r="A202" s="199" t="str">
        <f>CONCATENATE(LEFT(A200,2)+1,".")</f>
        <v>27.</v>
      </c>
      <c r="B202" s="200" t="str">
        <f>Vertaling!A129</f>
        <v>Wanneer betalen je klanten in het algemeen?</v>
      </c>
      <c r="C202" s="216" t="str">
        <f>Vertaling!A31</f>
        <v>selecteer:</v>
      </c>
      <c r="D202" s="259"/>
      <c r="E202" s="216" t="str">
        <f>Vertaling!A31</f>
        <v>selecteer:</v>
      </c>
      <c r="F202" s="259"/>
    </row>
    <row r="203" spans="1:65" x14ac:dyDescent="0.25">
      <c r="B203" s="200"/>
      <c r="E203" s="197"/>
      <c r="F203" s="196"/>
    </row>
    <row r="204" spans="1:65" x14ac:dyDescent="0.25">
      <c r="B204" s="202" t="str">
        <f>Vertaling!A130</f>
        <v>Omzetprognose</v>
      </c>
      <c r="C204" s="263"/>
      <c r="E204" s="261"/>
      <c r="F204" s="215"/>
      <c r="G204" s="53"/>
    </row>
    <row r="205" spans="1:65" ht="30" customHeight="1" x14ac:dyDescent="0.25">
      <c r="A205" s="199" t="str">
        <f>CONCATENATE(LEFT(A202,2)+1,".")</f>
        <v>28.</v>
      </c>
      <c r="B205" s="200" t="str">
        <f>Vertaling!A131</f>
        <v>Hoeveel omzet verwacht je per maand te realiseren in het eerste actieve bedrijfsjaar?</v>
      </c>
      <c r="C205" s="222"/>
      <c r="D205" s="215" t="s">
        <v>31</v>
      </c>
      <c r="F205" s="215" t="s">
        <v>32</v>
      </c>
      <c r="G205" s="23"/>
      <c r="I205" s="34"/>
    </row>
    <row r="206" spans="1:65" s="26" customFormat="1" x14ac:dyDescent="0.25">
      <c r="A206" s="193" t="s">
        <v>30</v>
      </c>
      <c r="B206" s="200" t="str">
        <f>Vertaling!A132</f>
        <v>Maand 1</v>
      </c>
      <c r="C206" s="216" t="str">
        <f>Vertaling!$A$33</f>
        <v>vul bedrag in:</v>
      </c>
      <c r="D206" s="240"/>
      <c r="E206" s="216" t="str">
        <f>Vertaling!$A$33</f>
        <v>vul bedrag in:</v>
      </c>
      <c r="F206" s="240"/>
      <c r="G206" s="2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25"/>
      <c r="BL206" s="25"/>
      <c r="BM206" s="25"/>
    </row>
    <row r="207" spans="1:65" ht="7.5" customHeight="1" x14ac:dyDescent="0.25">
      <c r="A207" s="201"/>
      <c r="B207" s="200"/>
      <c r="C207" s="216"/>
      <c r="D207" s="241"/>
      <c r="E207" s="216"/>
      <c r="F207" s="241"/>
      <c r="G207" s="23"/>
    </row>
    <row r="208" spans="1:65" s="26" customFormat="1" x14ac:dyDescent="0.25">
      <c r="A208" s="193" t="s">
        <v>30</v>
      </c>
      <c r="B208" s="200" t="str">
        <f>Vertaling!A133</f>
        <v>Maand 2</v>
      </c>
      <c r="C208" s="216" t="str">
        <f>Vertaling!$A$33</f>
        <v>vul bedrag in:</v>
      </c>
      <c r="D208" s="240"/>
      <c r="E208" s="216" t="str">
        <f>Vertaling!$A$33</f>
        <v>vul bedrag in:</v>
      </c>
      <c r="F208" s="240"/>
      <c r="G208" s="2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25"/>
      <c r="BL208" s="25"/>
      <c r="BM208" s="25"/>
    </row>
    <row r="209" spans="1:65" ht="7.5" customHeight="1" x14ac:dyDescent="0.25">
      <c r="A209" s="201"/>
      <c r="B209" s="200"/>
      <c r="C209" s="216"/>
      <c r="D209" s="241"/>
      <c r="E209" s="216"/>
      <c r="F209" s="241"/>
      <c r="G209" s="23"/>
    </row>
    <row r="210" spans="1:65" s="26" customFormat="1" x14ac:dyDescent="0.25">
      <c r="A210" s="199" t="s">
        <v>30</v>
      </c>
      <c r="B210" s="200" t="str">
        <f>Vertaling!A134</f>
        <v>Maand 3</v>
      </c>
      <c r="C210" s="216" t="str">
        <f>Vertaling!$A$33</f>
        <v>vul bedrag in:</v>
      </c>
      <c r="D210" s="240"/>
      <c r="E210" s="216" t="str">
        <f>Vertaling!$A$33</f>
        <v>vul bedrag in:</v>
      </c>
      <c r="F210" s="240"/>
      <c r="G210" s="2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25"/>
      <c r="BL210" s="25"/>
      <c r="BM210" s="25"/>
    </row>
    <row r="211" spans="1:65" ht="7.5" customHeight="1" x14ac:dyDescent="0.25">
      <c r="A211" s="201"/>
      <c r="B211" s="200"/>
      <c r="C211" s="216"/>
      <c r="D211" s="241"/>
      <c r="E211" s="216"/>
      <c r="F211" s="241"/>
      <c r="G211" s="23"/>
    </row>
    <row r="212" spans="1:65" s="26" customFormat="1" x14ac:dyDescent="0.25">
      <c r="A212" s="199" t="s">
        <v>30</v>
      </c>
      <c r="B212" s="200" t="str">
        <f>Vertaling!A135</f>
        <v>Maand 4</v>
      </c>
      <c r="C212" s="216" t="str">
        <f>Vertaling!$A$33</f>
        <v>vul bedrag in:</v>
      </c>
      <c r="D212" s="240"/>
      <c r="E212" s="216" t="str">
        <f>Vertaling!$A$33</f>
        <v>vul bedrag in:</v>
      </c>
      <c r="F212" s="240"/>
      <c r="G212" s="2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25"/>
      <c r="BL212" s="25"/>
      <c r="BM212" s="25"/>
    </row>
    <row r="213" spans="1:65" ht="7.5" customHeight="1" x14ac:dyDescent="0.25">
      <c r="A213" s="201"/>
      <c r="B213" s="200"/>
      <c r="C213" s="216"/>
      <c r="D213" s="241"/>
      <c r="E213" s="216"/>
      <c r="F213" s="241"/>
      <c r="G213" s="23"/>
    </row>
    <row r="214" spans="1:65" s="26" customFormat="1" x14ac:dyDescent="0.25">
      <c r="A214" s="199" t="s">
        <v>30</v>
      </c>
      <c r="B214" s="200" t="str">
        <f>Vertaling!A136</f>
        <v>Maand 5</v>
      </c>
      <c r="C214" s="216" t="str">
        <f>Vertaling!$A$33</f>
        <v>vul bedrag in:</v>
      </c>
      <c r="D214" s="240"/>
      <c r="E214" s="216" t="str">
        <f>Vertaling!$A$33</f>
        <v>vul bedrag in:</v>
      </c>
      <c r="F214" s="240"/>
      <c r="G214" s="2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25"/>
      <c r="BL214" s="25"/>
      <c r="BM214" s="25"/>
    </row>
    <row r="215" spans="1:65" ht="7.5" customHeight="1" x14ac:dyDescent="0.25">
      <c r="A215" s="201"/>
      <c r="B215" s="200"/>
      <c r="C215" s="216"/>
      <c r="D215" s="241"/>
      <c r="E215" s="216"/>
      <c r="F215" s="241"/>
      <c r="G215" s="23"/>
    </row>
    <row r="216" spans="1:65" s="26" customFormat="1" x14ac:dyDescent="0.25">
      <c r="A216" s="199" t="s">
        <v>30</v>
      </c>
      <c r="B216" s="200" t="str">
        <f>Vertaling!A137</f>
        <v>Maand 6</v>
      </c>
      <c r="C216" s="216" t="str">
        <f>Vertaling!$A$33</f>
        <v>vul bedrag in:</v>
      </c>
      <c r="D216" s="240"/>
      <c r="E216" s="216" t="str">
        <f>Vertaling!$A$33</f>
        <v>vul bedrag in:</v>
      </c>
      <c r="F216" s="240"/>
      <c r="G216" s="2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25"/>
      <c r="BL216" s="25"/>
      <c r="BM216" s="25"/>
    </row>
    <row r="217" spans="1:65" ht="7.5" customHeight="1" x14ac:dyDescent="0.25">
      <c r="A217" s="201"/>
      <c r="B217" s="200"/>
      <c r="C217" s="216"/>
      <c r="D217" s="241"/>
      <c r="E217" s="216"/>
      <c r="F217" s="241"/>
      <c r="G217" s="23"/>
    </row>
    <row r="218" spans="1:65" s="26" customFormat="1" x14ac:dyDescent="0.25">
      <c r="A218" s="199" t="s">
        <v>30</v>
      </c>
      <c r="B218" s="200" t="str">
        <f>Vertaling!A138</f>
        <v>Maand 7</v>
      </c>
      <c r="C218" s="216" t="str">
        <f>Vertaling!$A$33</f>
        <v>vul bedrag in:</v>
      </c>
      <c r="D218" s="240"/>
      <c r="E218" s="216" t="str">
        <f>Vertaling!$A$33</f>
        <v>vul bedrag in:</v>
      </c>
      <c r="F218" s="240"/>
      <c r="G218" s="2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25"/>
      <c r="BL218" s="25"/>
      <c r="BM218" s="25"/>
    </row>
    <row r="219" spans="1:65" ht="7.5" customHeight="1" x14ac:dyDescent="0.25">
      <c r="A219" s="201"/>
      <c r="B219" s="200"/>
      <c r="C219" s="216"/>
      <c r="D219" s="241"/>
      <c r="E219" s="216"/>
      <c r="F219" s="241"/>
      <c r="G219" s="23"/>
    </row>
    <row r="220" spans="1:65" s="26" customFormat="1" x14ac:dyDescent="0.25">
      <c r="A220" s="199" t="s">
        <v>30</v>
      </c>
      <c r="B220" s="200" t="str">
        <f>Vertaling!A139</f>
        <v>Maand 8</v>
      </c>
      <c r="C220" s="216" t="str">
        <f>Vertaling!$A$33</f>
        <v>vul bedrag in:</v>
      </c>
      <c r="D220" s="240"/>
      <c r="E220" s="216" t="str">
        <f>Vertaling!$A$33</f>
        <v>vul bedrag in:</v>
      </c>
      <c r="F220" s="240"/>
      <c r="G220" s="2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25"/>
      <c r="BL220" s="25"/>
      <c r="BM220" s="25"/>
    </row>
    <row r="221" spans="1:65" ht="7.5" customHeight="1" x14ac:dyDescent="0.25">
      <c r="A221" s="201"/>
      <c r="B221" s="200"/>
      <c r="C221" s="216"/>
      <c r="D221" s="241"/>
      <c r="E221" s="216"/>
      <c r="F221" s="241"/>
      <c r="G221" s="23"/>
    </row>
    <row r="222" spans="1:65" s="26" customFormat="1" x14ac:dyDescent="0.25">
      <c r="A222" s="199" t="s">
        <v>30</v>
      </c>
      <c r="B222" s="200" t="str">
        <f>Vertaling!A140</f>
        <v>Maand 9</v>
      </c>
      <c r="C222" s="216" t="str">
        <f>Vertaling!$A$33</f>
        <v>vul bedrag in:</v>
      </c>
      <c r="D222" s="240"/>
      <c r="E222" s="216" t="str">
        <f>Vertaling!$A$33</f>
        <v>vul bedrag in:</v>
      </c>
      <c r="F222" s="240"/>
      <c r="G222" s="2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25"/>
      <c r="BL222" s="25"/>
      <c r="BM222" s="25"/>
    </row>
    <row r="223" spans="1:65" ht="7.5" customHeight="1" x14ac:dyDescent="0.25">
      <c r="A223" s="201"/>
      <c r="B223" s="200"/>
      <c r="C223" s="216"/>
      <c r="D223" s="241"/>
      <c r="E223" s="216"/>
      <c r="F223" s="241"/>
      <c r="G223" s="23"/>
    </row>
    <row r="224" spans="1:65" s="26" customFormat="1" x14ac:dyDescent="0.25">
      <c r="A224" s="199" t="s">
        <v>30</v>
      </c>
      <c r="B224" s="200" t="str">
        <f>Vertaling!A141</f>
        <v>Maand 10</v>
      </c>
      <c r="C224" s="216" t="str">
        <f>Vertaling!$A$33</f>
        <v>vul bedrag in:</v>
      </c>
      <c r="D224" s="240"/>
      <c r="E224" s="216" t="str">
        <f>Vertaling!$A$33</f>
        <v>vul bedrag in:</v>
      </c>
      <c r="F224" s="240"/>
      <c r="G224" s="2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25"/>
      <c r="BL224" s="25"/>
      <c r="BM224" s="25"/>
    </row>
    <row r="225" spans="1:65" ht="7.5" customHeight="1" x14ac:dyDescent="0.25">
      <c r="A225" s="201"/>
      <c r="B225" s="200"/>
      <c r="C225" s="216"/>
      <c r="D225" s="241"/>
      <c r="E225" s="216"/>
      <c r="F225" s="241"/>
      <c r="G225" s="23"/>
    </row>
    <row r="226" spans="1:65" s="26" customFormat="1" x14ac:dyDescent="0.25">
      <c r="A226" s="199" t="s">
        <v>30</v>
      </c>
      <c r="B226" s="200" t="str">
        <f>Vertaling!A142</f>
        <v>Maand 11</v>
      </c>
      <c r="C226" s="216" t="str">
        <f>Vertaling!$A$33</f>
        <v>vul bedrag in:</v>
      </c>
      <c r="D226" s="240"/>
      <c r="E226" s="216" t="str">
        <f>Vertaling!$A$33</f>
        <v>vul bedrag in:</v>
      </c>
      <c r="F226" s="240"/>
      <c r="G226" s="2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25"/>
      <c r="BL226" s="25"/>
      <c r="BM226" s="25"/>
    </row>
    <row r="227" spans="1:65" ht="7.5" customHeight="1" x14ac:dyDescent="0.25">
      <c r="A227" s="201"/>
      <c r="B227" s="200"/>
      <c r="C227" s="216"/>
      <c r="D227" s="241"/>
      <c r="E227" s="216"/>
      <c r="F227" s="241"/>
      <c r="G227" s="23"/>
    </row>
    <row r="228" spans="1:65" s="26" customFormat="1" x14ac:dyDescent="0.25">
      <c r="A228" s="199" t="s">
        <v>30</v>
      </c>
      <c r="B228" s="200" t="str">
        <f>Vertaling!A143</f>
        <v>Maand 12</v>
      </c>
      <c r="C228" s="216" t="str">
        <f>Vertaling!$A$33</f>
        <v>vul bedrag in:</v>
      </c>
      <c r="D228" s="240"/>
      <c r="E228" s="216" t="str">
        <f>Vertaling!$A$33</f>
        <v>vul bedrag in:</v>
      </c>
      <c r="F228" s="240"/>
      <c r="G228" s="2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25"/>
      <c r="BL228" s="25"/>
      <c r="BM228" s="25"/>
    </row>
    <row r="229" spans="1:65" x14ac:dyDescent="0.25">
      <c r="F229" s="230"/>
    </row>
    <row r="230" spans="1:65" x14ac:dyDescent="0.25">
      <c r="B230" s="211" t="str">
        <f>Vertaling!A144</f>
        <v>Privé: aftrekposten Belastingdienst</v>
      </c>
      <c r="C230" s="264" t="str">
        <f>Vertaling!$A$239</f>
        <v>Wat is dit?</v>
      </c>
      <c r="E230" s="261"/>
      <c r="F230" s="215"/>
      <c r="G230" s="53"/>
    </row>
    <row r="231" spans="1:65" ht="26.25" x14ac:dyDescent="0.25">
      <c r="A231" s="199" t="str">
        <f>CONCATENATE(LEFT(A205,2)+1,".")</f>
        <v>29.</v>
      </c>
      <c r="B231" s="212" t="str">
        <f>Vertaling!A145</f>
        <v>Mag je ter vermindering van je belastbaar inkomen de onderstaande aftrekposten opvoeren?</v>
      </c>
      <c r="C231" s="222"/>
      <c r="D231" s="215" t="str">
        <f>D14</f>
        <v/>
      </c>
      <c r="F231" s="215" t="str">
        <f>F14</f>
        <v>Ondernemer:</v>
      </c>
    </row>
    <row r="232" spans="1:65" s="26" customFormat="1" x14ac:dyDescent="0.25">
      <c r="A232" s="119"/>
      <c r="B232" s="200" t="str">
        <f>Vertaling!A146</f>
        <v>Zelfstandigenaftrek</v>
      </c>
      <c r="C232" s="216" t="str">
        <f>Vertaling!A31</f>
        <v>selecteer:</v>
      </c>
      <c r="D232" s="249"/>
      <c r="E232" s="216" t="str">
        <f>Vertaling!A31</f>
        <v>selecteer:</v>
      </c>
      <c r="F232" s="249"/>
      <c r="G232" s="50"/>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25"/>
      <c r="BL232" s="25"/>
      <c r="BM232" s="25"/>
    </row>
    <row r="233" spans="1:65" ht="7.5" customHeight="1" x14ac:dyDescent="0.25">
      <c r="A233" s="201"/>
      <c r="B233" s="200"/>
      <c r="C233" s="216"/>
      <c r="D233" s="241"/>
      <c r="E233" s="216"/>
      <c r="F233" s="241"/>
      <c r="G233" s="23"/>
    </row>
    <row r="234" spans="1:65" s="26" customFormat="1" x14ac:dyDescent="0.25">
      <c r="A234" s="119"/>
      <c r="B234" s="200" t="str">
        <f>Vertaling!A147</f>
        <v>Startersaftrek</v>
      </c>
      <c r="C234" s="216" t="str">
        <f>Vertaling!$A$31</f>
        <v>selecteer:</v>
      </c>
      <c r="D234" s="249"/>
      <c r="E234" s="216" t="str">
        <f>Vertaling!A31</f>
        <v>selecteer:</v>
      </c>
      <c r="F234" s="249"/>
      <c r="G234" s="50"/>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25"/>
      <c r="BL234" s="25"/>
      <c r="BM234" s="25"/>
    </row>
    <row r="235" spans="1:65" ht="7.5" customHeight="1" x14ac:dyDescent="0.25">
      <c r="A235" s="201"/>
      <c r="B235" s="200"/>
      <c r="C235" s="216"/>
      <c r="D235" s="241"/>
      <c r="E235" s="216"/>
      <c r="F235" s="241"/>
      <c r="G235" s="23"/>
    </row>
    <row r="236" spans="1:65" s="26" customFormat="1" ht="30" customHeight="1" x14ac:dyDescent="0.25">
      <c r="A236" s="119"/>
      <c r="B236" s="213" t="str">
        <f>Vertaling!A148</f>
        <v>Meewerkaftrek</v>
      </c>
      <c r="C236" s="216" t="str">
        <f>Vertaling!$A$31</f>
        <v>selecteer:</v>
      </c>
      <c r="D236" s="232"/>
      <c r="E236" s="216" t="str">
        <f>Vertaling!A31</f>
        <v>selecteer:</v>
      </c>
      <c r="F236" s="232"/>
      <c r="G236" s="50"/>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25"/>
      <c r="BL236" s="25"/>
      <c r="BM236" s="25"/>
    </row>
    <row r="237" spans="1:65" ht="7.5" customHeight="1" x14ac:dyDescent="0.25">
      <c r="A237" s="118"/>
      <c r="B237" s="146"/>
      <c r="C237" s="216"/>
      <c r="D237" s="241"/>
      <c r="E237" s="216"/>
      <c r="F237" s="241"/>
      <c r="G237" s="23"/>
    </row>
    <row r="238" spans="1:65" x14ac:dyDescent="0.25">
      <c r="A238" s="141"/>
      <c r="B238" s="25"/>
      <c r="C238" s="222"/>
      <c r="D238" s="198"/>
      <c r="F238" s="196"/>
      <c r="G238" s="25"/>
    </row>
    <row r="239" spans="1:65" x14ac:dyDescent="0.25">
      <c r="A239" s="142"/>
      <c r="B239" s="40"/>
      <c r="C239" s="265"/>
      <c r="D239" s="266"/>
      <c r="E239" s="267"/>
      <c r="F239" s="268"/>
      <c r="G239" s="32"/>
    </row>
    <row r="240" spans="1:65" x14ac:dyDescent="0.25">
      <c r="A240" s="142"/>
      <c r="B240" s="40"/>
      <c r="C240" s="265"/>
      <c r="D240" s="266"/>
      <c r="E240" s="267"/>
      <c r="F240" s="268"/>
      <c r="G240" s="32"/>
    </row>
    <row r="241" spans="1:7" x14ac:dyDescent="0.25">
      <c r="A241" s="142"/>
      <c r="B241" s="40"/>
      <c r="C241" s="265"/>
      <c r="D241" s="266"/>
      <c r="E241" s="267"/>
      <c r="F241" s="268"/>
      <c r="G241" s="32"/>
    </row>
    <row r="242" spans="1:7" x14ac:dyDescent="0.25">
      <c r="A242" s="142"/>
      <c r="B242" s="40"/>
      <c r="C242" s="265"/>
      <c r="D242" s="266"/>
      <c r="E242" s="267"/>
      <c r="F242" s="268"/>
      <c r="G242" s="32"/>
    </row>
    <row r="243" spans="1:7" x14ac:dyDescent="0.25">
      <c r="A243" s="142"/>
      <c r="B243" s="40"/>
      <c r="C243" s="265"/>
      <c r="D243" s="266"/>
      <c r="E243" s="267"/>
      <c r="F243" s="268"/>
      <c r="G243" s="32"/>
    </row>
    <row r="244" spans="1:7" x14ac:dyDescent="0.25">
      <c r="A244" s="142"/>
      <c r="B244" s="40"/>
      <c r="C244" s="265"/>
      <c r="D244" s="266"/>
      <c r="E244" s="267"/>
      <c r="F244" s="268"/>
      <c r="G244" s="32"/>
    </row>
    <row r="245" spans="1:7" x14ac:dyDescent="0.25">
      <c r="A245" s="142"/>
      <c r="B245" s="40"/>
      <c r="C245" s="265"/>
      <c r="D245" s="266"/>
      <c r="E245" s="267"/>
      <c r="F245" s="268"/>
      <c r="G245" s="32"/>
    </row>
    <row r="246" spans="1:7" x14ac:dyDescent="0.25">
      <c r="A246" s="142"/>
      <c r="B246" s="40"/>
      <c r="C246" s="265"/>
      <c r="D246" s="266"/>
      <c r="E246" s="267"/>
      <c r="F246" s="268"/>
      <c r="G246" s="32"/>
    </row>
    <row r="247" spans="1:7" x14ac:dyDescent="0.25">
      <c r="A247" s="142"/>
      <c r="B247" s="40"/>
      <c r="C247" s="265"/>
      <c r="D247" s="266"/>
      <c r="E247" s="267"/>
      <c r="F247" s="268"/>
      <c r="G247" s="32"/>
    </row>
    <row r="248" spans="1:7" x14ac:dyDescent="0.25">
      <c r="A248" s="142"/>
      <c r="B248" s="40"/>
      <c r="C248" s="265"/>
      <c r="D248" s="266"/>
      <c r="E248" s="267"/>
      <c r="F248" s="268"/>
      <c r="G248" s="32"/>
    </row>
    <row r="249" spans="1:7" x14ac:dyDescent="0.25">
      <c r="A249" s="142"/>
      <c r="B249" s="40"/>
      <c r="C249" s="265"/>
      <c r="D249" s="266"/>
      <c r="E249" s="267"/>
      <c r="F249" s="268"/>
      <c r="G249" s="32"/>
    </row>
    <row r="250" spans="1:7" x14ac:dyDescent="0.25">
      <c r="A250" s="142"/>
      <c r="B250" s="40"/>
      <c r="C250" s="265"/>
      <c r="D250" s="266"/>
      <c r="E250" s="267"/>
      <c r="F250" s="268"/>
      <c r="G250" s="32"/>
    </row>
    <row r="251" spans="1:7" x14ac:dyDescent="0.25">
      <c r="A251" s="142"/>
      <c r="B251" s="40"/>
      <c r="C251" s="265"/>
      <c r="D251" s="266"/>
      <c r="E251" s="267"/>
      <c r="F251" s="268"/>
      <c r="G251" s="32"/>
    </row>
    <row r="252" spans="1:7" x14ac:dyDescent="0.25">
      <c r="A252" s="142"/>
      <c r="B252" s="40"/>
      <c r="C252" s="265"/>
      <c r="D252" s="266"/>
      <c r="E252" s="267"/>
      <c r="F252" s="268"/>
      <c r="G252" s="32"/>
    </row>
    <row r="253" spans="1:7" x14ac:dyDescent="0.25">
      <c r="A253" s="142"/>
      <c r="B253" s="40"/>
      <c r="C253" s="265"/>
      <c r="D253" s="266"/>
      <c r="E253" s="267"/>
      <c r="F253" s="268"/>
      <c r="G253" s="32"/>
    </row>
    <row r="254" spans="1:7" x14ac:dyDescent="0.25">
      <c r="A254" s="142"/>
      <c r="B254" s="40"/>
      <c r="C254" s="265"/>
      <c r="D254" s="266"/>
      <c r="E254" s="267"/>
      <c r="F254" s="268"/>
      <c r="G254" s="32"/>
    </row>
    <row r="255" spans="1:7" x14ac:dyDescent="0.25">
      <c r="A255" s="142"/>
      <c r="B255" s="40"/>
      <c r="C255" s="265"/>
      <c r="D255" s="266"/>
      <c r="E255" s="267"/>
      <c r="F255" s="268"/>
      <c r="G255" s="32"/>
    </row>
    <row r="256" spans="1:7" x14ac:dyDescent="0.25">
      <c r="A256" s="142"/>
      <c r="B256" s="40"/>
      <c r="C256" s="265"/>
      <c r="D256" s="266"/>
      <c r="E256" s="267"/>
      <c r="F256" s="268"/>
      <c r="G256" s="32"/>
    </row>
    <row r="257" spans="1:7" x14ac:dyDescent="0.25">
      <c r="A257" s="142"/>
      <c r="B257" s="40"/>
      <c r="C257" s="265"/>
      <c r="D257" s="266"/>
      <c r="E257" s="267"/>
      <c r="F257" s="268"/>
      <c r="G257" s="32"/>
    </row>
    <row r="258" spans="1:7" x14ac:dyDescent="0.25">
      <c r="A258" s="142"/>
      <c r="B258" s="40"/>
      <c r="C258" s="265"/>
      <c r="D258" s="266"/>
      <c r="E258" s="267"/>
      <c r="F258" s="268"/>
      <c r="G258" s="32"/>
    </row>
    <row r="259" spans="1:7" x14ac:dyDescent="0.25">
      <c r="A259" s="142"/>
      <c r="B259" s="40"/>
      <c r="C259" s="265"/>
      <c r="D259" s="266"/>
      <c r="E259" s="267"/>
      <c r="F259" s="268"/>
      <c r="G259" s="32"/>
    </row>
    <row r="260" spans="1:7" x14ac:dyDescent="0.25">
      <c r="A260" s="142"/>
      <c r="B260" s="40"/>
      <c r="C260" s="265"/>
      <c r="D260" s="266"/>
      <c r="E260" s="267"/>
      <c r="F260" s="268"/>
      <c r="G260" s="32"/>
    </row>
    <row r="261" spans="1:7" x14ac:dyDescent="0.25">
      <c r="A261" s="142"/>
      <c r="B261" s="40"/>
      <c r="C261" s="265"/>
      <c r="D261" s="266"/>
      <c r="E261" s="267"/>
      <c r="F261" s="268"/>
      <c r="G261" s="32"/>
    </row>
    <row r="262" spans="1:7" x14ac:dyDescent="0.25">
      <c r="A262" s="142"/>
      <c r="B262" s="40"/>
      <c r="C262" s="265"/>
      <c r="D262" s="266"/>
      <c r="E262" s="267"/>
      <c r="F262" s="268"/>
      <c r="G262" s="32"/>
    </row>
    <row r="263" spans="1:7" x14ac:dyDescent="0.25">
      <c r="A263" s="142"/>
      <c r="B263" s="40"/>
      <c r="C263" s="265"/>
      <c r="D263" s="266"/>
      <c r="E263" s="267"/>
      <c r="F263" s="268"/>
      <c r="G263" s="32"/>
    </row>
    <row r="264" spans="1:7" x14ac:dyDescent="0.25">
      <c r="A264" s="142"/>
      <c r="B264" s="40"/>
      <c r="C264" s="265"/>
      <c r="D264" s="266"/>
      <c r="E264" s="267"/>
      <c r="F264" s="268"/>
      <c r="G264" s="32"/>
    </row>
    <row r="265" spans="1:7" x14ac:dyDescent="0.25">
      <c r="A265" s="142"/>
      <c r="B265" s="40"/>
      <c r="C265" s="265"/>
      <c r="D265" s="266"/>
      <c r="E265" s="267"/>
      <c r="F265" s="268"/>
      <c r="G265" s="32"/>
    </row>
    <row r="266" spans="1:7" x14ac:dyDescent="0.25">
      <c r="A266" s="142"/>
      <c r="B266" s="40"/>
      <c r="C266" s="265"/>
      <c r="D266" s="266"/>
      <c r="E266" s="267"/>
      <c r="F266" s="268"/>
      <c r="G266" s="32"/>
    </row>
    <row r="267" spans="1:7" x14ac:dyDescent="0.25">
      <c r="A267" s="142"/>
      <c r="B267" s="40"/>
      <c r="C267" s="265"/>
      <c r="D267" s="266"/>
      <c r="E267" s="267"/>
      <c r="F267" s="268"/>
      <c r="G267" s="32"/>
    </row>
    <row r="268" spans="1:7" x14ac:dyDescent="0.25">
      <c r="A268" s="142"/>
      <c r="B268" s="40"/>
      <c r="C268" s="265"/>
      <c r="D268" s="266"/>
      <c r="E268" s="267"/>
      <c r="F268" s="268"/>
      <c r="G268" s="32"/>
    </row>
    <row r="269" spans="1:7" x14ac:dyDescent="0.25">
      <c r="A269" s="142"/>
      <c r="B269" s="40"/>
      <c r="C269" s="265"/>
      <c r="D269" s="266"/>
      <c r="E269" s="267"/>
      <c r="F269" s="268"/>
      <c r="G269" s="32"/>
    </row>
    <row r="270" spans="1:7" x14ac:dyDescent="0.25">
      <c r="A270" s="142"/>
      <c r="B270" s="40"/>
      <c r="C270" s="265"/>
      <c r="D270" s="266"/>
      <c r="E270" s="267"/>
      <c r="F270" s="268"/>
      <c r="G270" s="32"/>
    </row>
    <row r="271" spans="1:7" x14ac:dyDescent="0.25">
      <c r="A271" s="142"/>
      <c r="B271" s="40"/>
      <c r="C271" s="265"/>
      <c r="D271" s="266"/>
      <c r="E271" s="267"/>
      <c r="F271" s="268"/>
      <c r="G271" s="32"/>
    </row>
    <row r="272" spans="1:7" x14ac:dyDescent="0.25">
      <c r="A272" s="142"/>
      <c r="B272" s="40"/>
      <c r="C272" s="265"/>
      <c r="D272" s="266"/>
      <c r="E272" s="267"/>
      <c r="F272" s="268"/>
      <c r="G272" s="32"/>
    </row>
    <row r="273" spans="1:7" x14ac:dyDescent="0.25">
      <c r="A273" s="142"/>
      <c r="B273" s="40"/>
      <c r="C273" s="265"/>
      <c r="D273" s="266"/>
      <c r="E273" s="267"/>
      <c r="F273" s="268"/>
      <c r="G273" s="32"/>
    </row>
    <row r="274" spans="1:7" x14ac:dyDescent="0.25">
      <c r="A274" s="142"/>
      <c r="B274" s="40"/>
      <c r="C274" s="265"/>
      <c r="D274" s="266"/>
      <c r="E274" s="267"/>
      <c r="F274" s="268"/>
      <c r="G274" s="32"/>
    </row>
    <row r="275" spans="1:7" x14ac:dyDescent="0.25">
      <c r="A275" s="142"/>
      <c r="B275" s="40"/>
      <c r="C275" s="265"/>
      <c r="D275" s="266"/>
      <c r="E275" s="267"/>
      <c r="F275" s="268"/>
      <c r="G275" s="32"/>
    </row>
    <row r="276" spans="1:7" x14ac:dyDescent="0.25">
      <c r="A276" s="142"/>
      <c r="B276" s="40"/>
      <c r="C276" s="265"/>
      <c r="D276" s="266"/>
      <c r="E276" s="267"/>
      <c r="F276" s="268"/>
      <c r="G276" s="32"/>
    </row>
    <row r="277" spans="1:7" x14ac:dyDescent="0.25">
      <c r="A277" s="142"/>
      <c r="B277" s="40"/>
      <c r="C277" s="265"/>
      <c r="D277" s="266"/>
      <c r="E277" s="267"/>
      <c r="F277" s="268"/>
      <c r="G277" s="32"/>
    </row>
    <row r="278" spans="1:7" x14ac:dyDescent="0.25">
      <c r="A278" s="142"/>
      <c r="B278" s="40"/>
      <c r="C278" s="265"/>
      <c r="D278" s="266"/>
      <c r="E278" s="267"/>
      <c r="F278" s="268"/>
      <c r="G278" s="32"/>
    </row>
    <row r="279" spans="1:7" x14ac:dyDescent="0.25">
      <c r="A279" s="142"/>
      <c r="B279" s="40"/>
      <c r="C279" s="265"/>
      <c r="D279" s="266"/>
      <c r="E279" s="267"/>
      <c r="F279" s="268"/>
      <c r="G279" s="32"/>
    </row>
    <row r="280" spans="1:7" x14ac:dyDescent="0.25">
      <c r="A280" s="142"/>
      <c r="B280" s="40"/>
      <c r="C280" s="265"/>
      <c r="D280" s="266"/>
      <c r="E280" s="267"/>
      <c r="F280" s="268"/>
      <c r="G280" s="32"/>
    </row>
    <row r="281" spans="1:7" x14ac:dyDescent="0.25">
      <c r="A281" s="142"/>
      <c r="B281" s="40"/>
      <c r="C281" s="265"/>
      <c r="D281" s="266"/>
      <c r="E281" s="267"/>
      <c r="F281" s="268"/>
      <c r="G281" s="32"/>
    </row>
    <row r="282" spans="1:7" x14ac:dyDescent="0.25">
      <c r="A282" s="142"/>
      <c r="B282" s="40"/>
      <c r="C282" s="265"/>
      <c r="D282" s="266"/>
      <c r="E282" s="267"/>
      <c r="F282" s="268"/>
      <c r="G282" s="32"/>
    </row>
    <row r="283" spans="1:7" x14ac:dyDescent="0.25">
      <c r="A283" s="142"/>
      <c r="B283" s="40"/>
      <c r="C283" s="265"/>
      <c r="D283" s="266"/>
      <c r="E283" s="267"/>
      <c r="F283" s="268"/>
      <c r="G283" s="32"/>
    </row>
    <row r="284" spans="1:7" x14ac:dyDescent="0.25">
      <c r="A284" s="142"/>
      <c r="B284" s="40"/>
      <c r="C284" s="265"/>
      <c r="D284" s="266"/>
      <c r="E284" s="267"/>
      <c r="F284" s="268"/>
      <c r="G284" s="32"/>
    </row>
    <row r="285" spans="1:7" x14ac:dyDescent="0.25">
      <c r="A285" s="142"/>
      <c r="B285" s="40"/>
      <c r="C285" s="265"/>
      <c r="D285" s="266"/>
      <c r="E285" s="267"/>
      <c r="F285" s="268"/>
      <c r="G285" s="32"/>
    </row>
    <row r="286" spans="1:7" x14ac:dyDescent="0.25">
      <c r="A286" s="142"/>
      <c r="B286" s="40"/>
      <c r="C286" s="265"/>
      <c r="D286" s="266"/>
      <c r="E286" s="267"/>
      <c r="F286" s="268"/>
      <c r="G286" s="32"/>
    </row>
    <row r="287" spans="1:7" x14ac:dyDescent="0.25">
      <c r="A287" s="142"/>
      <c r="B287" s="40"/>
      <c r="C287" s="265"/>
      <c r="D287" s="266"/>
      <c r="E287" s="267"/>
      <c r="F287" s="268"/>
      <c r="G287" s="32"/>
    </row>
    <row r="288" spans="1:7" x14ac:dyDescent="0.25">
      <c r="A288" s="142"/>
      <c r="B288" s="40"/>
      <c r="C288" s="265"/>
      <c r="D288" s="266"/>
      <c r="E288" s="267"/>
      <c r="F288" s="268"/>
      <c r="G288" s="32"/>
    </row>
    <row r="289" spans="1:7" x14ac:dyDescent="0.25">
      <c r="A289" s="142"/>
      <c r="B289" s="40"/>
      <c r="C289" s="265"/>
      <c r="D289" s="266"/>
      <c r="E289" s="267"/>
      <c r="F289" s="268"/>
      <c r="G289" s="32"/>
    </row>
    <row r="290" spans="1:7" x14ac:dyDescent="0.25">
      <c r="A290" s="142"/>
      <c r="B290" s="40"/>
      <c r="C290" s="265"/>
      <c r="D290" s="266"/>
      <c r="E290" s="267"/>
      <c r="F290" s="268"/>
      <c r="G290" s="32"/>
    </row>
    <row r="291" spans="1:7" x14ac:dyDescent="0.25">
      <c r="A291" s="142"/>
      <c r="B291" s="40"/>
      <c r="C291" s="265"/>
      <c r="D291" s="266"/>
      <c r="E291" s="267"/>
      <c r="F291" s="268"/>
      <c r="G291" s="32"/>
    </row>
    <row r="292" spans="1:7" x14ac:dyDescent="0.25">
      <c r="A292" s="142"/>
      <c r="B292" s="40"/>
      <c r="C292" s="265"/>
      <c r="D292" s="266"/>
      <c r="E292" s="267"/>
      <c r="F292" s="268"/>
      <c r="G292" s="32"/>
    </row>
    <row r="293" spans="1:7" x14ac:dyDescent="0.25">
      <c r="A293" s="142"/>
      <c r="B293" s="40"/>
      <c r="C293" s="265"/>
      <c r="D293" s="266"/>
      <c r="E293" s="267"/>
      <c r="F293" s="268"/>
      <c r="G293" s="32"/>
    </row>
    <row r="294" spans="1:7" x14ac:dyDescent="0.25">
      <c r="A294" s="142"/>
      <c r="B294" s="40"/>
      <c r="C294" s="265"/>
      <c r="D294" s="266"/>
      <c r="E294" s="267"/>
      <c r="F294" s="268"/>
      <c r="G294" s="32"/>
    </row>
    <row r="295" spans="1:7" x14ac:dyDescent="0.25">
      <c r="A295" s="142"/>
      <c r="B295" s="40"/>
      <c r="C295" s="265"/>
      <c r="D295" s="266"/>
      <c r="E295" s="267"/>
      <c r="F295" s="268"/>
      <c r="G295" s="32"/>
    </row>
    <row r="296" spans="1:7" x14ac:dyDescent="0.25">
      <c r="A296" s="142"/>
      <c r="B296" s="40"/>
      <c r="C296" s="265"/>
      <c r="D296" s="266"/>
      <c r="E296" s="267"/>
      <c r="F296" s="268"/>
      <c r="G296" s="32"/>
    </row>
    <row r="297" spans="1:7" x14ac:dyDescent="0.25">
      <c r="A297" s="142"/>
      <c r="B297" s="40"/>
      <c r="C297" s="265"/>
      <c r="D297" s="266"/>
      <c r="E297" s="267"/>
      <c r="F297" s="268"/>
      <c r="G297" s="32"/>
    </row>
    <row r="298" spans="1:7" x14ac:dyDescent="0.25">
      <c r="A298" s="142"/>
      <c r="B298" s="40"/>
      <c r="C298" s="265"/>
      <c r="D298" s="266"/>
      <c r="E298" s="267"/>
      <c r="F298" s="268"/>
      <c r="G298" s="32"/>
    </row>
    <row r="299" spans="1:7" x14ac:dyDescent="0.25">
      <c r="A299" s="142"/>
      <c r="B299" s="40"/>
      <c r="C299" s="265"/>
      <c r="D299" s="266"/>
      <c r="E299" s="267"/>
      <c r="F299" s="268"/>
      <c r="G299" s="32"/>
    </row>
    <row r="300" spans="1:7" x14ac:dyDescent="0.25">
      <c r="A300" s="142"/>
      <c r="B300" s="40"/>
      <c r="C300" s="265"/>
      <c r="D300" s="266"/>
      <c r="E300" s="267"/>
      <c r="F300" s="268"/>
      <c r="G300" s="32"/>
    </row>
    <row r="301" spans="1:7" x14ac:dyDescent="0.25">
      <c r="A301" s="142"/>
      <c r="B301" s="40"/>
      <c r="C301" s="265"/>
      <c r="D301" s="266"/>
      <c r="E301" s="267"/>
      <c r="F301" s="268"/>
      <c r="G301" s="32"/>
    </row>
    <row r="302" spans="1:7" x14ac:dyDescent="0.25">
      <c r="A302" s="142"/>
      <c r="B302" s="40"/>
      <c r="C302" s="265"/>
      <c r="D302" s="266"/>
      <c r="E302" s="267"/>
      <c r="F302" s="268"/>
      <c r="G302" s="32"/>
    </row>
    <row r="303" spans="1:7" x14ac:dyDescent="0.25">
      <c r="A303" s="142"/>
      <c r="B303" s="40"/>
      <c r="C303" s="265"/>
      <c r="D303" s="266"/>
      <c r="E303" s="267"/>
      <c r="F303" s="268"/>
      <c r="G303" s="32"/>
    </row>
    <row r="304" spans="1:7" x14ac:dyDescent="0.25">
      <c r="A304" s="142"/>
      <c r="B304" s="40"/>
      <c r="C304" s="265"/>
      <c r="D304" s="266"/>
      <c r="E304" s="267"/>
      <c r="F304" s="268"/>
      <c r="G304" s="32"/>
    </row>
    <row r="305" spans="1:7" x14ac:dyDescent="0.25">
      <c r="A305" s="142"/>
      <c r="B305" s="40"/>
      <c r="C305" s="265"/>
      <c r="D305" s="266"/>
      <c r="E305" s="267"/>
      <c r="F305" s="268"/>
      <c r="G305" s="32"/>
    </row>
    <row r="306" spans="1:7" x14ac:dyDescent="0.25">
      <c r="A306" s="142"/>
      <c r="B306" s="40"/>
      <c r="C306" s="265"/>
      <c r="D306" s="266"/>
      <c r="E306" s="267"/>
      <c r="F306" s="268"/>
      <c r="G306" s="32"/>
    </row>
  </sheetData>
  <sheetProtection algorithmName="SHA-512" hashValue="sSrnxTx9427Vl1Kbolv+REBrHw4TTwaSu4gLjp/fAEVFWPi5PYXcm7mMIPUsQHxC6Rg2McBO8b+oop/u7MT4Jw==" saltValue="pEJ8kuQ/TT1W5+3XU2rbgQ==" spinCount="100000" sheet="1" objects="1" scenarios="1"/>
  <mergeCells count="16">
    <mergeCell ref="C162:G162"/>
    <mergeCell ref="B153:D153"/>
    <mergeCell ref="B155:D155"/>
    <mergeCell ref="B157:D157"/>
    <mergeCell ref="B128:D128"/>
    <mergeCell ref="B130:D130"/>
    <mergeCell ref="B141:D141"/>
    <mergeCell ref="B145:D145"/>
    <mergeCell ref="B147:D147"/>
    <mergeCell ref="B149:D149"/>
    <mergeCell ref="B137:D137"/>
    <mergeCell ref="B118:D118"/>
    <mergeCell ref="B120:D120"/>
    <mergeCell ref="B122:D122"/>
    <mergeCell ref="B126:D126"/>
    <mergeCell ref="B151:D151"/>
  </mergeCells>
  <conditionalFormatting sqref="A230:G238">
    <cfRule type="expression" dxfId="54" priority="55">
      <formula>$D$4="B.V."</formula>
    </cfRule>
  </conditionalFormatting>
  <conditionalFormatting sqref="C8">
    <cfRule type="expression" dxfId="52" priority="1">
      <formula>$D$4=""</formula>
    </cfRule>
  </conditionalFormatting>
  <conditionalFormatting sqref="C68 E68:F68">
    <cfRule type="expression" dxfId="51" priority="50">
      <formula>$D$4&lt;&gt;"B.V."</formula>
    </cfRule>
  </conditionalFormatting>
  <conditionalFormatting sqref="D6">
    <cfRule type="expression" dxfId="50" priority="4">
      <formula>$C$6=""</formula>
    </cfRule>
  </conditionalFormatting>
  <conditionalFormatting sqref="D11 C232:D237">
    <cfRule type="expression" dxfId="49" priority="54">
      <formula>$D$14=""</formula>
    </cfRule>
  </conditionalFormatting>
  <conditionalFormatting sqref="D15:D29 D32:D34 D39:D61 D64:D66 D72:D82">
    <cfRule type="expression" dxfId="48" priority="56">
      <formula>$D$14=""</formula>
    </cfRule>
  </conditionalFormatting>
  <conditionalFormatting sqref="D17">
    <cfRule type="expression" dxfId="47" priority="12">
      <formula>$C$17=""</formula>
    </cfRule>
  </conditionalFormatting>
  <conditionalFormatting sqref="D21">
    <cfRule type="expression" dxfId="46" priority="10">
      <formula>$C$21=""</formula>
    </cfRule>
  </conditionalFormatting>
  <conditionalFormatting sqref="D68">
    <cfRule type="expression" dxfId="42" priority="26">
      <formula>$D$14=""</formula>
    </cfRule>
  </conditionalFormatting>
  <conditionalFormatting sqref="F10">
    <cfRule type="expression" dxfId="38" priority="3">
      <formula>$D$4=""</formula>
    </cfRule>
  </conditionalFormatting>
  <conditionalFormatting sqref="F11">
    <cfRule type="expression" dxfId="37" priority="2">
      <formula>$D$4=""</formula>
    </cfRule>
  </conditionalFormatting>
  <conditionalFormatting sqref="F17">
    <cfRule type="expression" dxfId="35" priority="11">
      <formula>$E$17=""</formula>
    </cfRule>
  </conditionalFormatting>
  <conditionalFormatting sqref="F21">
    <cfRule type="expression" dxfId="34" priority="9">
      <formula>$E$21=""</formula>
    </cfRule>
  </conditionalFormatting>
  <conditionalFormatting sqref="F120:F124">
    <cfRule type="expression" dxfId="28" priority="8">
      <formula>OR($F$118="",$F$118=0)</formula>
    </cfRule>
  </conditionalFormatting>
  <conditionalFormatting sqref="F128:F132">
    <cfRule type="expression" dxfId="27" priority="7">
      <formula>OR($F$126="""",$F$126=0)</formula>
    </cfRule>
  </conditionalFormatting>
  <conditionalFormatting sqref="F139">
    <cfRule type="expression" dxfId="26" priority="6">
      <formula>$E$139=""</formula>
    </cfRule>
  </conditionalFormatting>
  <conditionalFormatting sqref="F143">
    <cfRule type="expression" dxfId="25" priority="5">
      <formula>$E$143=""</formula>
    </cfRule>
  </conditionalFormatting>
  <conditionalFormatting sqref="G120">
    <cfRule type="cellIs" dxfId="23" priority="44" operator="equal">
      <formula>0</formula>
    </cfRule>
  </conditionalFormatting>
  <conditionalFormatting sqref="G124">
    <cfRule type="cellIs" dxfId="22" priority="43" operator="equal">
      <formula>0</formula>
    </cfRule>
  </conditionalFormatting>
  <conditionalFormatting sqref="G128">
    <cfRule type="cellIs" dxfId="21" priority="42" operator="equal">
      <formula>0</formula>
    </cfRule>
  </conditionalFormatting>
  <dataValidations count="14">
    <dataValidation type="list" allowBlank="1" showInputMessage="1" showErrorMessage="1" errorTitle="PAS UW ANTWOORD AAN" error="KLIK OP ANNULEREN EN SELECTEER UW ANTWOORD" sqref="F72 D160 F160 D72" xr:uid="{00000000-0002-0000-0200-000000000000}">
      <formula1>Ja_Nee</formula1>
    </dataValidation>
    <dataValidation type="list" allowBlank="1" showInputMessage="1" showErrorMessage="1" errorTitle="PAS UW ANTWOORD AAN" error="KLIK OP ANNULEREN EN SELECTEER UW ANTWOORD" sqref="F21 D21" xr:uid="{00000000-0002-0000-0200-000001000000}">
      <formula1>Uitkering</formula1>
    </dataValidation>
    <dataValidation type="list" allowBlank="1" showInputMessage="1" showErrorMessage="1" errorTitle="PAS UW ANTWOORD AAN" error="KLIK OP ANNULEREN EN SELECTEER UW ANTWOORD" sqref="D89 D91 D93 D95 D97 D99 D87 D101" xr:uid="{00000000-0002-0000-0200-000002000000}">
      <formula1>Inbreng</formula1>
    </dataValidation>
    <dataValidation type="list" allowBlank="1" showInputMessage="1" showErrorMessage="1" errorTitle="PAS UW ANTWOORD AAN" error="KLIK OP ANNULEREN EN SELECTEER UW ANTWOORD" sqref="F143 F132 F124 F139" xr:uid="{00000000-0002-0000-0200-000003000000}">
      <formula1>Graceperiod</formula1>
    </dataValidation>
    <dataValidation type="list" allowBlank="1" showInputMessage="1" showErrorMessage="1" errorTitle="PAS UW ANTWOORD AAN" error="KLIK OP ANNULEREN EN SELECTEER UW ANTWOORD" sqref="D200 F200" xr:uid="{00000000-0002-0000-0200-000004000000}">
      <formula1>BTW</formula1>
    </dataValidation>
    <dataValidation type="list" allowBlank="1" showInputMessage="1" showErrorMessage="1" errorTitle="PAS UW ANTWOORD AAN" error="KLIK OP ANNULEREN EN SELECTEER UW ANTWOORD" sqref="D202 F202" xr:uid="{00000000-0002-0000-0200-000005000000}">
      <formula1>Betalen</formula1>
    </dataValidation>
    <dataValidation type="list" allowBlank="1" showInputMessage="1" showErrorMessage="1" errorTitle="PAS UW ANTWOORD AAN" error="KLIK OP ANNULEREN  EN SELECTEER UW ANTWOORD" sqref="F25 D25" xr:uid="{00000000-0002-0000-0200-000006000000}">
      <formula1>Ja_Nee</formula1>
    </dataValidation>
    <dataValidation type="decimal" allowBlank="1" showInputMessage="1" showErrorMessage="1" errorTitle="PAS UW ANTWOORD AAN" error="VOER EEN GETAL TUSSEN 0 EN 100 IN" sqref="F164 D164" xr:uid="{00000000-0002-0000-0200-000007000000}">
      <formula1>0</formula1>
      <formula2>1</formula2>
    </dataValidation>
    <dataValidation type="list" allowBlank="1" showInputMessage="1" showErrorMessage="1" errorTitle="PAS UW ANTWOORD AAN" error="KLIK OP ANNULEREN  EN SELECTEER UW ANTWOORD" sqref="D4" xr:uid="{00000000-0002-0000-0200-000008000000}">
      <formula1>Rechtsvorm</formula1>
    </dataValidation>
    <dataValidation type="decimal" allowBlank="1" showInputMessage="1" showErrorMessage="1" sqref="D11" xr:uid="{00000000-0002-0000-0200-000009000000}">
      <formula1>0</formula1>
      <formula2>1</formula2>
    </dataValidation>
    <dataValidation type="whole" operator="greaterThanOrEqual" allowBlank="1" showErrorMessage="1" errorTitle="Voer een bedrag in!" error="Voer een afgerond bedrag in." sqref="D15 F15 D17 F17 F19 D19" xr:uid="{00000000-0002-0000-0200-00000A000000}">
      <formula1>0</formula1>
    </dataValidation>
    <dataValidation type="whole" operator="greaterThanOrEqual" allowBlank="1" showInputMessage="1" showErrorMessage="1" errorTitle="Voer een bedrag in!" error="Voer een afgerond bedrag in." sqref="D23 F23 F27 D27 D29 F29" xr:uid="{00000000-0002-0000-0200-00000B000000}">
      <formula1>0</formula1>
    </dataValidation>
    <dataValidation type="whole" operator="greaterThanOrEqual" allowBlank="1" showInputMessage="1" showErrorMessage="1" errorTitle="Voer een bedrag in!" error="Veor een afgerond bedrag in." sqref="D76 D39:D61 D68 F68 D74 F74 F76 F78 F80 F82 D82 D80 D78 F39:F61" xr:uid="{00000000-0002-0000-0200-00000C000000}">
      <formula1>0</formula1>
    </dataValidation>
    <dataValidation type="list" allowBlank="1" showInputMessage="1" showErrorMessage="1" errorTitle="PAS UW ANTWOORD AAN" error="KLIK OP ANNULEREN  EN SELECTEER UW ANTWOORD" sqref="D6" xr:uid="{00000000-0002-0000-0200-00000E000000}">
      <formula1>Ondernemers</formula1>
    </dataValidation>
  </dataValidations>
  <hyperlinks>
    <hyperlink ref="C230" location="'Uitleg aftrekposten'!A1" display="'Uitleg aftrekposten'!A1" xr:uid="{00000000-0004-0000-0200-000000000000}"/>
  </hyperlinks>
  <pageMargins left="0.25" right="0.25" top="0.75" bottom="0.75" header="0.3" footer="0.3"/>
  <pageSetup paperSize="9" scale="71" firstPageNumber="0" fitToHeight="0" orientation="portrait" r:id="rId1"/>
  <headerFooter alignWithMargins="0"/>
  <rowBreaks count="3" manualBreakCount="3">
    <brk id="61" max="6" man="1"/>
    <brk id="133" max="16383" man="1"/>
    <brk id="229" max="6" man="1"/>
  </rowBreaks>
  <drawing r:id="rId2"/>
  <extLst>
    <ext xmlns:x14="http://schemas.microsoft.com/office/spreadsheetml/2009/9/main" uri="{78C0D931-6437-407d-A8EE-F0AAD7539E65}">
      <x14:conditionalFormattings>
        <x14:conditionalFormatting xmlns:xm="http://schemas.microsoft.com/office/excel/2006/main">
          <x14:cfRule type="expression" priority="47" id="{00000000-000E-0000-0200-000012000000}">
            <xm:f>$D$4=dropdowns!$A$4</xm:f>
            <x14:dxf>
              <font>
                <color theme="0"/>
              </font>
              <fill>
                <patternFill>
                  <fgColor theme="0"/>
                </patternFill>
              </fill>
              <border>
                <left/>
                <right/>
                <top/>
                <bottom/>
                <vertical/>
                <horizontal/>
              </border>
            </x14:dxf>
          </x14:cfRule>
          <xm:sqref>B10:F11</xm:sqref>
        </x14:conditionalFormatting>
        <x14:conditionalFormatting xmlns:xm="http://schemas.microsoft.com/office/excel/2006/main">
          <x14:cfRule type="expression" priority="18" id="{EB6CA721-7709-4E4E-AFB6-E6D5D4EDF2F5}">
            <xm:f>OR(D25=dropdowns!$B$25,D25=dropdowns!$C$25,ISBLANK(D25))</xm:f>
            <x14:dxf>
              <fill>
                <patternFill>
                  <bgColor theme="0"/>
                </patternFill>
              </fill>
              <border>
                <left/>
                <right/>
                <top/>
                <bottom/>
                <vertical/>
                <horizontal/>
              </border>
            </x14:dxf>
          </x14:cfRule>
          <xm:sqref>D27</xm:sqref>
        </x14:conditionalFormatting>
        <x14:conditionalFormatting xmlns:xm="http://schemas.microsoft.com/office/excel/2006/main">
          <x14:cfRule type="expression" priority="17" id="{3A442F23-B54B-4F18-8ED8-6401D8F5AAC2}">
            <xm:f>OR(D25=dropdowns!$B$25,D25=dropdowns!$C$25,ISBLANK(D25))</xm:f>
            <x14:dxf>
              <fill>
                <patternFill>
                  <bgColor theme="0"/>
                </patternFill>
              </fill>
              <border>
                <left/>
                <right/>
                <top/>
                <bottom/>
                <vertical/>
                <horizontal/>
              </border>
            </x14:dxf>
          </x14:cfRule>
          <xm:sqref>D29</xm:sqref>
        </x14:conditionalFormatting>
        <x14:conditionalFormatting xmlns:xm="http://schemas.microsoft.com/office/excel/2006/main">
          <x14:cfRule type="expression" priority="25" id="{B17CFF0A-3C64-4E35-974C-453CA973BAE6}">
            <xm:f>$D$4&lt;&gt;dropdowns!$A$6</xm:f>
            <x14:dxf>
              <font>
                <color theme="0"/>
              </font>
              <fill>
                <patternFill>
                  <bgColor theme="0"/>
                </patternFill>
              </fill>
              <border>
                <left/>
                <right/>
                <top/>
                <bottom/>
              </border>
            </x14:dxf>
          </x14:cfRule>
          <xm:sqref>D68</xm:sqref>
        </x14:conditionalFormatting>
        <x14:conditionalFormatting xmlns:xm="http://schemas.microsoft.com/office/excel/2006/main">
          <x14:cfRule type="expression" priority="16" id="{AA9AD7DC-C16B-413C-A249-4DA6C007B5B3}">
            <xm:f>OR(D72=dropdowns!$B$25,D72=dropdowns!$C$25,ISBLANK(D72))</xm:f>
            <x14:dxf>
              <fill>
                <patternFill>
                  <bgColor theme="0"/>
                </patternFill>
              </fill>
              <border>
                <left/>
                <right/>
                <top/>
                <bottom/>
              </border>
            </x14:dxf>
          </x14:cfRule>
          <xm:sqref>D74</xm:sqref>
        </x14:conditionalFormatting>
        <x14:conditionalFormatting xmlns:xm="http://schemas.microsoft.com/office/excel/2006/main">
          <x14:cfRule type="expression" priority="15" id="{6C9AF1DB-9CF7-404E-96A7-86398EFA6F72}">
            <xm:f>OR(D72=dropdowns!$B$25,D72=dropdowns!$C$25,ISBLANK(D72))</xm:f>
            <x14:dxf>
              <fill>
                <patternFill>
                  <bgColor theme="0"/>
                </patternFill>
              </fill>
              <border>
                <left/>
                <right/>
                <top/>
                <bottom/>
              </border>
            </x14:dxf>
          </x14:cfRule>
          <xm:sqref>D76</xm:sqref>
        </x14:conditionalFormatting>
        <x14:conditionalFormatting xmlns:xm="http://schemas.microsoft.com/office/excel/2006/main">
          <x14:cfRule type="expression" priority="24" id="{101BE506-3AC8-4CC5-8EF2-892964000C6C}">
            <xm:f>OR($D$160=dropdowns!$A$25,$D$160="")</xm:f>
            <x14:dxf>
              <font>
                <color theme="0"/>
              </font>
              <fill>
                <patternFill>
                  <bgColor theme="0"/>
                </patternFill>
              </fill>
              <border>
                <left/>
                <right/>
                <top/>
                <bottom/>
              </border>
            </x14:dxf>
          </x14:cfRule>
          <xm:sqref>D164:D168</xm:sqref>
        </x14:conditionalFormatting>
        <x14:conditionalFormatting xmlns:xm="http://schemas.microsoft.com/office/excel/2006/main">
          <x14:cfRule type="expression" priority="29" id="{C65BFE45-772E-4798-B5F8-054BB6771D10}">
            <xm:f>$D$4=dropdowns!$A$4</xm:f>
            <x14:dxf>
              <font>
                <color theme="0"/>
              </font>
              <fill>
                <patternFill patternType="solid">
                  <bgColor theme="0"/>
                </patternFill>
              </fill>
            </x14:dxf>
          </x14:cfRule>
          <xm:sqref>F11</xm:sqref>
        </x14:conditionalFormatting>
        <x14:conditionalFormatting xmlns:xm="http://schemas.microsoft.com/office/excel/2006/main">
          <x14:cfRule type="expression" priority="20" id="{867DBD50-14D6-4902-BFCA-300DA75F7D80}">
            <xm:f>OR(F25=dropdowns!$B$25,F25=dropdowns!$C$25,ISBLANK(F25))</xm:f>
            <x14:dxf>
              <fill>
                <patternFill>
                  <bgColor theme="0"/>
                </patternFill>
              </fill>
              <border>
                <left/>
                <right/>
                <top/>
                <bottom/>
                <vertical/>
                <horizontal/>
              </border>
            </x14:dxf>
          </x14:cfRule>
          <xm:sqref>F27</xm:sqref>
        </x14:conditionalFormatting>
        <x14:conditionalFormatting xmlns:xm="http://schemas.microsoft.com/office/excel/2006/main">
          <x14:cfRule type="expression" priority="19" id="{95B9252E-064D-4AF9-B819-C4C9699D7D24}">
            <xm:f>OR(F25=dropdowns!$B$25,F25=dropdowns!$C$25,ISBLANK(F25))</xm:f>
            <x14:dxf>
              <fill>
                <patternFill>
                  <bgColor theme="0"/>
                </patternFill>
              </fill>
              <border>
                <left/>
                <right/>
                <top/>
                <bottom/>
                <vertical/>
                <horizontal/>
              </border>
            </x14:dxf>
          </x14:cfRule>
          <xm:sqref>F29</xm:sqref>
        </x14:conditionalFormatting>
        <x14:conditionalFormatting xmlns:xm="http://schemas.microsoft.com/office/excel/2006/main">
          <x14:cfRule type="expression" priority="28" id="{7A0D5DFB-47C0-4B68-961C-384DBC135DCC}">
            <xm:f>$D$4&lt;&gt;dropdowns!A$6</xm:f>
            <x14:dxf>
              <font>
                <color theme="0"/>
              </font>
              <fill>
                <patternFill patternType="none">
                  <bgColor auto="1"/>
                </patternFill>
              </fill>
            </x14:dxf>
          </x14:cfRule>
          <xm:sqref>F68</xm:sqref>
        </x14:conditionalFormatting>
        <x14:conditionalFormatting xmlns:xm="http://schemas.microsoft.com/office/excel/2006/main">
          <x14:cfRule type="expression" priority="14" id="{0CF24FBF-1F85-4C8E-A770-C1F639F40072}">
            <xm:f>OR(F72=dropdowns!$B$25,F72=dropdowns!$C$25,ISBLANK(F72))</xm:f>
            <x14:dxf>
              <fill>
                <patternFill>
                  <bgColor theme="0"/>
                </patternFill>
              </fill>
              <border>
                <left/>
                <right/>
                <top/>
                <bottom/>
              </border>
            </x14:dxf>
          </x14:cfRule>
          <xm:sqref>F74</xm:sqref>
        </x14:conditionalFormatting>
        <x14:conditionalFormatting xmlns:xm="http://schemas.microsoft.com/office/excel/2006/main">
          <x14:cfRule type="expression" priority="13" id="{B0A4651C-3685-43A1-9FF6-B61650109BD7}">
            <xm:f>OR(F72=dropdowns!$B$25,F72=dropdowns!$C$25,ISBLANK(F72))</xm:f>
            <x14:dxf>
              <fill>
                <patternFill>
                  <bgColor theme="0"/>
                </patternFill>
              </fill>
              <border>
                <left/>
                <right/>
                <top/>
                <bottom/>
                <vertical/>
                <horizontal/>
              </border>
            </x14:dxf>
          </x14:cfRule>
          <xm:sqref>F76</xm:sqref>
        </x14:conditionalFormatting>
        <x14:conditionalFormatting xmlns:xm="http://schemas.microsoft.com/office/excel/2006/main">
          <x14:cfRule type="expression" priority="23" id="{93BD3766-C488-4D6B-A5BE-51F3A13AA825}">
            <xm:f>OR($F$160=dropdowns!$A$25,$F$160="")</xm:f>
            <x14:dxf>
              <font>
                <color theme="0"/>
              </font>
              <fill>
                <patternFill>
                  <bgColor theme="0"/>
                </patternFill>
              </fill>
              <border>
                <left/>
                <right/>
                <top/>
                <bottom/>
              </border>
            </x14:dxf>
          </x14:cfRule>
          <xm:sqref>F164:F168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errorTitle="PAS UW ANTWOORD AAN" error="KLIK OP ANNULEREN EN SELECTEER UW ANTWOORD" xr:uid="{05E5F014-34CC-4813-8F27-BB50CD0DBF3C}">
          <x14:formula1>
            <xm:f>IF($D$4=dropdowns!$A$6,"",Ja_Nee)</xm:f>
          </x14:formula1>
          <xm:sqref>F232 F234</xm:sqref>
        </x14:dataValidation>
        <x14:dataValidation type="list" allowBlank="1" showInputMessage="1" showErrorMessage="1" errorTitle="PAS UW ANTWOORD AAN" error="KLIK OP ANNULEREN EN SELECTEER UW ANTWOORD" xr:uid="{5BF8C8A3-E216-4D37-B6A7-E0D0B64F0507}">
          <x14:formula1>
            <xm:f>IF($D$4=dropdowns!$A$6,"",Meewerkaftrek)</xm:f>
          </x14:formula1>
          <xm:sqref>F236</xm:sqref>
        </x14:dataValidation>
        <x14:dataValidation type="list" allowBlank="1" showInputMessage="1" showErrorMessage="1" errorTitle="PAS UW ANTWOORD AAN" error="KLIK OP ANNULEREN EN SELECTEER UW ANTWOORD" xr:uid="{00000000-0002-0000-0200-00000D000000}">
          <x14:formula1>
            <xm:f>IF($D$4=dropdowns!$A$81,dropdowns!$F$43,Meewerkaftrek)</xm:f>
          </x14:formula1>
          <xm:sqref>D236</xm:sqref>
        </x14:dataValidation>
        <x14:dataValidation type="list" allowBlank="1" showInputMessage="1" showErrorMessage="1" errorTitle="PAS UW ANTWOORD AAN" error="KLIK OP ANNULEREN EN SELECTEER UW ANTWOORD" xr:uid="{00000000-0002-0000-0200-00000F000000}">
          <x14:formula1>
            <xm:f>IF($D$4=dropdowns!$A$81,dropdowns!$F$43,Ja_Nee)</xm:f>
          </x14:formula1>
          <xm:sqref>D232 D234</xm:sqref>
        </x14:dataValidation>
        <x14:dataValidation type="list" allowBlank="1" showInputMessage="1" showErrorMessage="1" errorTitle="PAS UW ANTWOORD AAN" error="KLIK OP ANNULEREN EN SELECTEER UW ANTWOORD" xr:uid="{FCD76595-B296-43D3-895D-64B671DD2F09}">
          <x14:formula1>
            <xm:f>IF($D$160=dropdowns!$A$25,"",BTW)</xm:f>
          </x14:formula1>
          <xm:sqref>D166</xm:sqref>
        </x14:dataValidation>
        <x14:dataValidation type="list" allowBlank="1" showInputMessage="1" showErrorMessage="1" errorTitle="PAS UW ANTWOORD AAN" error="KLIK OP ANNULEREN EN SELECTEER UW ANTWOORD" xr:uid="{A716AC57-672E-4271-97CD-D1B4DB7D11E1}">
          <x14:formula1>
            <xm:f>IF($D$160=dropdowns!$A$25,"",Betalen)</xm:f>
          </x14:formula1>
          <xm:sqref>D168</xm:sqref>
        </x14:dataValidation>
        <x14:dataValidation type="list" allowBlank="1" showInputMessage="1" showErrorMessage="1" errorTitle="PAS UW ANTWOORD AAN" error="KLIK OP ANNULEREN EN SELECTEER UW ANTWOORD" xr:uid="{331D151F-EFF9-41F5-834E-A57E6ED36279}">
          <x14:formula1>
            <xm:f>IF($F$160=dropdowns!$A$25,"",BTW)</xm:f>
          </x14:formula1>
          <xm:sqref>F166</xm:sqref>
        </x14:dataValidation>
        <x14:dataValidation type="list" allowBlank="1" showInputMessage="1" showErrorMessage="1" errorTitle="PAS UW ANTWOORD AAN" error="KLIK OP ANNULEREN EN SELECTEER UW ANTWOORD" xr:uid="{39495C16-886F-4067-A29C-034272FDC7F5}">
          <x14:formula1>
            <xm:f>IF($F$160=dropdowns!$A$25,"",Betalen)</xm:f>
          </x14:formula1>
          <xm:sqref>F168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232572"/>
    <pageSetUpPr fitToPage="1"/>
  </sheetPr>
  <dimension ref="A1:R56"/>
  <sheetViews>
    <sheetView workbookViewId="0">
      <selection activeCell="C23" sqref="C23"/>
    </sheetView>
  </sheetViews>
  <sheetFormatPr defaultRowHeight="15" x14ac:dyDescent="0.25"/>
  <cols>
    <col min="1" max="1" width="3.5703125" style="3" customWidth="1"/>
    <col min="2" max="2" width="39.85546875" style="3" customWidth="1"/>
    <col min="3" max="5" width="15.7109375" style="3" customWidth="1"/>
    <col min="6" max="6" width="10.42578125" style="3" customWidth="1"/>
    <col min="7" max="7" width="41.7109375" style="3" customWidth="1"/>
    <col min="8" max="8" width="15.85546875" style="3" customWidth="1"/>
    <col min="9" max="9" width="3.5703125" style="3" customWidth="1"/>
    <col min="10" max="10" width="21.85546875" style="3" customWidth="1"/>
    <col min="11" max="16384" width="9.140625" style="3"/>
  </cols>
  <sheetData>
    <row r="1" spans="1:18" ht="93" customHeight="1" x14ac:dyDescent="0.25">
      <c r="A1" s="1"/>
      <c r="B1" s="176" t="str">
        <f>Vertaling!A156</f>
        <v xml:space="preserve">Investerings- &amp; Financieringsbegroting </v>
      </c>
      <c r="C1" s="54"/>
      <c r="D1" s="54"/>
      <c r="E1" s="54"/>
      <c r="F1" s="54"/>
      <c r="G1" s="54"/>
    </row>
    <row r="2" spans="1:18" x14ac:dyDescent="0.25">
      <c r="A2" s="1"/>
      <c r="B2" s="269"/>
      <c r="C2" s="269"/>
      <c r="D2" s="269"/>
      <c r="E2" s="269"/>
      <c r="F2" s="269"/>
      <c r="G2" s="269"/>
      <c r="H2" s="269"/>
      <c r="I2" s="269"/>
      <c r="J2" s="214" t="str">
        <f>Vertaling!A239</f>
        <v>Wat is dit?</v>
      </c>
      <c r="K2" s="269"/>
      <c r="L2" s="269"/>
      <c r="M2" s="269"/>
      <c r="R2" s="14"/>
    </row>
    <row r="3" spans="1:18" ht="14.25" customHeight="1" x14ac:dyDescent="0.25">
      <c r="B3" s="270" t="str">
        <f>Vertaling!A157</f>
        <v>Vaste activa (excl. btw)</v>
      </c>
      <c r="C3" s="271" t="str">
        <f>Vertaling!A170</f>
        <v>In bezit</v>
      </c>
      <c r="D3" s="272" t="str">
        <f>Vertaling!A171</f>
        <v>Investeren</v>
      </c>
      <c r="E3" s="273" t="str">
        <f>Vertaling!A172</f>
        <v>Totaal</v>
      </c>
      <c r="F3" s="274"/>
      <c r="G3" s="270" t="str">
        <f>Vertaling!A173</f>
        <v>Eigen inbreng</v>
      </c>
      <c r="H3" s="275"/>
      <c r="I3" s="269"/>
      <c r="J3" s="269"/>
      <c r="K3" s="269"/>
      <c r="L3" s="269"/>
      <c r="M3" s="269"/>
    </row>
    <row r="4" spans="1:18" ht="14.25" customHeight="1" x14ac:dyDescent="0.25">
      <c r="B4" s="276" t="str">
        <f>Vertaling!A158</f>
        <v>Aankoop onroerend goed</v>
      </c>
      <c r="C4" s="277">
        <f>IF(OR(VRAGENLIJST!D87=dropdowns!$B$28,VRAGENLIJST!D87=dropdowns!$C$28,VRAGENLIJST!D87=dropdowns!$D$28,VRAGENLIJST!D87=dropdowns!$E$28),VRAGENLIJST!F87,0)</f>
        <v>0</v>
      </c>
      <c r="D4" s="277">
        <f>IF(VRAGENLIJST!D87="",VRAGENLIJST!F87,IF(OR(VRAGENLIJST!D87=dropdowns!$B$29,VRAGENLIJST!D87=dropdowns!$C$29,VRAGENLIJST!D87=dropdowns!$D$29,VRAGENLIJST!D87=dropdowns!$E$29),VRAGENLIJST!F87,0))</f>
        <v>0</v>
      </c>
      <c r="E4" s="278">
        <f t="shared" ref="E4:E9" si="0">SUM(C4:D4)</f>
        <v>0</v>
      </c>
      <c r="F4" s="274"/>
      <c r="G4" s="276" t="str">
        <f>Vertaling!A174</f>
        <v>Activa in bezit</v>
      </c>
      <c r="H4" s="279">
        <f>C17</f>
        <v>0</v>
      </c>
      <c r="I4" s="269"/>
      <c r="J4" s="269"/>
      <c r="K4" s="269"/>
      <c r="L4" s="269"/>
      <c r="M4" s="269"/>
    </row>
    <row r="5" spans="1:18" x14ac:dyDescent="0.25">
      <c r="B5" s="276" t="str">
        <f>Vertaling!A159</f>
        <v xml:space="preserve">Verbouwing </v>
      </c>
      <c r="C5" s="277">
        <f>IF(OR(VRAGENLIJST!D89=dropdowns!$B$28,VRAGENLIJST!D89=dropdowns!$C$28,VRAGENLIJST!D89=dropdowns!$D$28,VRAGENLIJST!D89=dropdowns!$E$28),VRAGENLIJST!F89,0)</f>
        <v>0</v>
      </c>
      <c r="D5" s="277">
        <f>IF(VRAGENLIJST!D89="",VRAGENLIJST!F89,IF(OR(VRAGENLIJST!D89=dropdowns!$B$29,VRAGENLIJST!D89=dropdowns!$C$29,VRAGENLIJST!D89=dropdowns!$D$29,VRAGENLIJST!D89=dropdowns!$E$29),VRAGENLIJST!F89,0))</f>
        <v>0</v>
      </c>
      <c r="E5" s="278">
        <f t="shared" si="0"/>
        <v>0</v>
      </c>
      <c r="F5" s="274"/>
      <c r="G5" s="276" t="str">
        <f>Vertaling!A175</f>
        <v>Contante inbreng (bv. spaargeld)</v>
      </c>
      <c r="H5" s="279">
        <f>VRAGENLIJST!F116</f>
        <v>0</v>
      </c>
      <c r="I5" s="269"/>
      <c r="J5" s="214" t="str">
        <f>Vertaling!A201</f>
        <v>Klik hier om VRAGENLIJST in te vullen</v>
      </c>
      <c r="K5" s="269"/>
      <c r="L5" s="269"/>
      <c r="M5" s="269"/>
    </row>
    <row r="6" spans="1:18" ht="14.25" customHeight="1" x14ac:dyDescent="0.25">
      <c r="B6" s="276" t="str">
        <f>Vertaling!A160</f>
        <v>Inventaris en inrichting</v>
      </c>
      <c r="C6" s="277">
        <f>IF(OR(VRAGENLIJST!D91=dropdowns!$B$28,VRAGENLIJST!D91=dropdowns!$C$28,VRAGENLIJST!D91=dropdowns!$D$28,VRAGENLIJST!D91=dropdowns!$E$28),VRAGENLIJST!F91,0)+IF(OR(VRAGENLIJST!D93=dropdowns!$B$28,VRAGENLIJST!D93=dropdowns!$C$28,VRAGENLIJST!D93=dropdowns!$D$28,VRAGENLIJST!D93=dropdowns!$E$28),VRAGENLIJST!F93,0)</f>
        <v>0</v>
      </c>
      <c r="D6" s="277">
        <f>IF(VRAGENLIJST!D91="",VRAGENLIJST!F91,IF(OR(VRAGENLIJST!D91=dropdowns!$B$29,VRAGENLIJST!D91=dropdowns!$C$29,VRAGENLIJST!D91=dropdowns!$D$29,VRAGENLIJST!D91=dropdowns!$E$29),VRAGENLIJST!F91,0))+IF(VRAGENLIJST!D93="",VRAGENLIJST!F93,IF(OR(VRAGENLIJST!D93=dropdowns!$B$29,VRAGENLIJST!D93=dropdowns!$C$29,VRAGENLIJST!D93=dropdowns!$D$29,VRAGENLIJST!D93=dropdowns!$E$29),VRAGENLIJST!F93,0))</f>
        <v>0</v>
      </c>
      <c r="E6" s="278">
        <f t="shared" si="0"/>
        <v>0</v>
      </c>
      <c r="F6" s="274"/>
      <c r="G6" s="276" t="str">
        <f>Vertaling!A176</f>
        <v>Achtergestelde leningen (familie/vrienden)</v>
      </c>
      <c r="H6" s="279">
        <f>VRAGENLIJST!F118</f>
        <v>0</v>
      </c>
      <c r="I6" s="269"/>
      <c r="J6" s="269"/>
      <c r="K6" s="269"/>
      <c r="L6" s="269"/>
      <c r="M6" s="269"/>
    </row>
    <row r="7" spans="1:18" ht="14.25" customHeight="1" x14ac:dyDescent="0.25">
      <c r="B7" s="276" t="str">
        <f>Vertaling!A161</f>
        <v>Computer en software</v>
      </c>
      <c r="C7" s="277">
        <f>IF(OR(VRAGENLIJST!D95=dropdowns!$B$28,VRAGENLIJST!D95=dropdowns!$C$28,VRAGENLIJST!D95=dropdowns!$D$28,VRAGENLIJST!D95=dropdowns!$E$28),VRAGENLIJST!F95,0)</f>
        <v>0</v>
      </c>
      <c r="D7" s="277">
        <f>IF(VRAGENLIJST!D95="",VRAGENLIJST!F95,IF(OR(VRAGENLIJST!D95=dropdowns!$B$29,VRAGENLIJST!D95=dropdowns!$C$29,VRAGENLIJST!D95=dropdowns!$D$29,VRAGENLIJST!D95=dropdowns!$E$29),VRAGENLIJST!F95,0))</f>
        <v>0</v>
      </c>
      <c r="E7" s="278">
        <f t="shared" si="0"/>
        <v>0</v>
      </c>
      <c r="F7" s="274"/>
      <c r="G7" s="280" t="str">
        <f>Vertaling!A177</f>
        <v>Totaal eigen vermogen</v>
      </c>
      <c r="H7" s="281">
        <f>SUM(H4:H6)</f>
        <v>0</v>
      </c>
      <c r="I7" s="269"/>
      <c r="J7" s="269"/>
      <c r="K7" s="269"/>
      <c r="L7" s="269"/>
      <c r="M7" s="269"/>
    </row>
    <row r="8" spans="1:18" ht="14.25" customHeight="1" x14ac:dyDescent="0.25">
      <c r="B8" s="276" t="str">
        <f>Vertaling!A162</f>
        <v>Transportmiddel</v>
      </c>
      <c r="C8" s="277">
        <f>IF(OR(VRAGENLIJST!D97=dropdowns!$B$28,VRAGENLIJST!D97=dropdowns!$C$28,VRAGENLIJST!D97=dropdowns!$D$28,VRAGENLIJST!D97=dropdowns!$E$28),VRAGENLIJST!F97,0)</f>
        <v>0</v>
      </c>
      <c r="D8" s="277">
        <f>IF(VRAGENLIJST!D97="",VRAGENLIJST!F97,IF(OR(VRAGENLIJST!D97=dropdowns!$B$29,VRAGENLIJST!D97=dropdowns!$C$29,VRAGENLIJST!D97=dropdowns!$D$29,VRAGENLIJST!D97=dropdowns!$E$29),VRAGENLIJST!F97,0))</f>
        <v>0</v>
      </c>
      <c r="E8" s="278">
        <f t="shared" si="0"/>
        <v>0</v>
      </c>
      <c r="F8" s="274"/>
      <c r="G8" s="282"/>
      <c r="H8" s="283"/>
      <c r="I8" s="269"/>
      <c r="J8" s="269"/>
      <c r="K8" s="269"/>
      <c r="L8" s="269"/>
      <c r="M8" s="269"/>
    </row>
    <row r="9" spans="1:18" ht="14.25" customHeight="1" x14ac:dyDescent="0.25">
      <c r="B9" s="276" t="str">
        <f>Vertaling!A163</f>
        <v>Goodwill/Franchisefee/Huurgarantie</v>
      </c>
      <c r="C9" s="284"/>
      <c r="D9" s="285">
        <f>VRAGENLIJST!F103+VRAGENLIJST!F105+VRAGENLIJST!F107</f>
        <v>0</v>
      </c>
      <c r="E9" s="278">
        <f t="shared" si="0"/>
        <v>0</v>
      </c>
      <c r="F9" s="274"/>
      <c r="G9" s="282"/>
      <c r="H9" s="283"/>
      <c r="I9" s="269"/>
      <c r="J9" s="269"/>
      <c r="K9" s="269"/>
      <c r="L9" s="269"/>
      <c r="M9" s="269"/>
    </row>
    <row r="10" spans="1:18" ht="14.25" customHeight="1" x14ac:dyDescent="0.25">
      <c r="B10" s="282"/>
      <c r="C10" s="282"/>
      <c r="D10" s="282"/>
      <c r="E10" s="282"/>
      <c r="F10" s="282"/>
      <c r="G10" s="282"/>
      <c r="H10" s="283"/>
      <c r="I10" s="269"/>
      <c r="J10" s="269"/>
      <c r="K10" s="269"/>
      <c r="L10" s="269"/>
      <c r="M10" s="269"/>
    </row>
    <row r="11" spans="1:18" ht="14.25" customHeight="1" x14ac:dyDescent="0.25">
      <c r="B11" s="270" t="str">
        <f>Vertaling!A164</f>
        <v>Vlottende activa (excl. btw)</v>
      </c>
      <c r="C11" s="271"/>
      <c r="D11" s="272"/>
      <c r="E11" s="273"/>
      <c r="F11" s="274"/>
      <c r="G11" s="270" t="str">
        <f>Vertaling!A178</f>
        <v>Financiering</v>
      </c>
      <c r="H11" s="286"/>
      <c r="I11" s="287"/>
      <c r="J11" s="269"/>
      <c r="K11" s="269"/>
      <c r="L11" s="269"/>
      <c r="M11" s="269"/>
    </row>
    <row r="12" spans="1:18" ht="14.25" customHeight="1" x14ac:dyDescent="0.25">
      <c r="B12" s="276" t="str">
        <f>Vertaling!A165</f>
        <v>Startvoorraad</v>
      </c>
      <c r="C12" s="285">
        <f>IF(OR(VRAGENLIJST!D99=dropdowns!$B$28,VRAGENLIJST!D99=dropdowns!$C$28,VRAGENLIJST!D99=dropdowns!$D$28,VRAGENLIJST!D99=dropdowns!$E$28),VRAGENLIJST!F99,0)+IF(OR(VRAGENLIJST!D101=dropdowns!$B$28,VRAGENLIJST!D101=dropdowns!$C$28,VRAGENLIJST!D101=dropdowns!$D$28,VRAGENLIJST!D101=dropdowns!$E$280),VRAGENLIJST!F101,0)</f>
        <v>0</v>
      </c>
      <c r="D12" s="285">
        <f>IF(VRAGENLIJST!D99="",VRAGENLIJST!F99,IF(OR(VRAGENLIJST!D99=dropdowns!$B$29,VRAGENLIJST!D99=dropdowns!$C$29,VRAGENLIJST!D99=dropdowns!$D$29,VRAGENLIJST!D99=dropdowns!$E$29),VRAGENLIJST!F99,0))+IF(VRAGENLIJST!D101="",VRAGENLIJST!F101,IF(OR(VRAGENLIJST!D101=dropdowns!$B$29,VRAGENLIJST!D101=dropdowns!$C$29,VRAGENLIJST!D101=dropdowns!$D$29,VRAGENLIJST!D101=dropdowns!$E$29),VRAGENLIJST!F101,0))</f>
        <v>0</v>
      </c>
      <c r="E12" s="278">
        <f>SUM(C12:D12)</f>
        <v>0</v>
      </c>
      <c r="F12" s="274"/>
      <c r="G12" s="276" t="str">
        <f>Vertaling!A179</f>
        <v>Financiering overig</v>
      </c>
      <c r="H12" s="279">
        <f>VRAGENLIJST!F126</f>
        <v>0</v>
      </c>
      <c r="I12" s="269"/>
      <c r="J12" s="269"/>
      <c r="K12" s="269"/>
      <c r="L12" s="269"/>
      <c r="M12" s="269"/>
    </row>
    <row r="13" spans="1:18" ht="14.25" customHeight="1" x14ac:dyDescent="0.25">
      <c r="B13" s="276" t="str">
        <f>Vertaling!A166</f>
        <v>Promotie- en aanloopkosten</v>
      </c>
      <c r="C13" s="284"/>
      <c r="D13" s="285">
        <f>VRAGENLIJST!F109</f>
        <v>0</v>
      </c>
      <c r="E13" s="278">
        <f>D13</f>
        <v>0</v>
      </c>
      <c r="F13" s="274"/>
      <c r="G13" s="276" t="str">
        <f>Vertaling!A180</f>
        <v>Financiering kredietverstrekker</v>
      </c>
      <c r="H13" s="279">
        <f>IF(E17-H7-H12&lt;0,0,E17-H7-H12)</f>
        <v>0</v>
      </c>
      <c r="I13" s="269"/>
      <c r="J13" s="269"/>
      <c r="K13" s="269"/>
      <c r="L13" s="269"/>
      <c r="M13" s="269"/>
    </row>
    <row r="14" spans="1:18" ht="14.25" customHeight="1" x14ac:dyDescent="0.25">
      <c r="B14" s="276" t="str">
        <f>Vertaling!A167</f>
        <v>Btw over investeringen</v>
      </c>
      <c r="C14" s="284"/>
      <c r="D14" s="278">
        <f>VRAGENLIJST!F111</f>
        <v>0</v>
      </c>
      <c r="E14" s="278">
        <f>D14</f>
        <v>0</v>
      </c>
      <c r="F14" s="282"/>
      <c r="G14" s="280" t="str">
        <f>Vertaling!A181</f>
        <v>Totaal vreemd vermogen</v>
      </c>
      <c r="H14" s="281">
        <f>SUM(H12:H13)</f>
        <v>0</v>
      </c>
      <c r="I14" s="269"/>
      <c r="J14" s="269"/>
      <c r="K14" s="269"/>
      <c r="L14" s="269"/>
      <c r="M14" s="269"/>
    </row>
    <row r="15" spans="1:18" x14ac:dyDescent="0.25">
      <c r="B15" s="276" t="str">
        <f>Vertaling!A168</f>
        <v>Kas (reserve)</v>
      </c>
      <c r="C15" s="284"/>
      <c r="D15" s="285">
        <f>VRAGENLIJST!F113+IF(SUM('Investering &amp; Financiering'!D4:D14)+VRAGENLIJST!F113-'Investering &amp; Financiering'!H5-'Investering &amp; Financiering'!H6-'Investering &amp; Financiering'!H12&lt;0,-1*(SUM('Investering &amp; Financiering'!D4:D14)+VRAGENLIJST!F113-'Investering &amp; Financiering'!H5-'Investering &amp; Financiering'!H6-'Investering &amp; Financiering'!H12),0)</f>
        <v>0</v>
      </c>
      <c r="E15" s="278">
        <f>D15</f>
        <v>0</v>
      </c>
      <c r="F15" s="282"/>
      <c r="G15" s="288"/>
      <c r="H15" s="283"/>
      <c r="I15" s="269"/>
      <c r="J15" s="269"/>
      <c r="K15" s="269"/>
      <c r="L15" s="269"/>
      <c r="M15" s="269"/>
    </row>
    <row r="16" spans="1:18" ht="13.5" customHeight="1" x14ac:dyDescent="0.25">
      <c r="B16" s="282"/>
      <c r="C16" s="282"/>
      <c r="D16" s="282"/>
      <c r="E16" s="282"/>
      <c r="F16" s="289"/>
      <c r="G16" s="269"/>
      <c r="H16" s="269"/>
      <c r="I16" s="269"/>
      <c r="J16" s="269"/>
      <c r="K16" s="269"/>
      <c r="L16" s="269"/>
      <c r="M16" s="269"/>
    </row>
    <row r="17" spans="2:13" ht="13.5" customHeight="1" x14ac:dyDescent="0.25">
      <c r="B17" s="290" t="str">
        <f>Vertaling!A169</f>
        <v>Totaal investeringsbedrag</v>
      </c>
      <c r="C17" s="291">
        <f>SUM(C4:C12)</f>
        <v>0</v>
      </c>
      <c r="D17" s="291">
        <f>SUM(D4:D16)</f>
        <v>0</v>
      </c>
      <c r="E17" s="292">
        <f>SUM(E4:E16)</f>
        <v>0</v>
      </c>
      <c r="F17" s="274"/>
      <c r="G17" s="290" t="str">
        <f>Vertaling!A182</f>
        <v>Totaal</v>
      </c>
      <c r="H17" s="292">
        <f>H7+H14</f>
        <v>0</v>
      </c>
      <c r="I17" s="269"/>
      <c r="J17" s="269"/>
      <c r="K17" s="269"/>
      <c r="L17" s="269"/>
      <c r="M17" s="269"/>
    </row>
    <row r="18" spans="2:13" x14ac:dyDescent="0.25">
      <c r="B18" s="274"/>
      <c r="C18" s="293"/>
      <c r="D18" s="294"/>
      <c r="E18" s="295"/>
      <c r="F18" s="274"/>
      <c r="G18" s="274"/>
      <c r="H18" s="274"/>
      <c r="I18" s="269"/>
      <c r="J18" s="269"/>
      <c r="K18" s="269"/>
      <c r="L18" s="269"/>
      <c r="M18" s="269"/>
    </row>
    <row r="19" spans="2:13" x14ac:dyDescent="0.25">
      <c r="B19" s="269"/>
      <c r="C19" s="269"/>
      <c r="D19" s="295"/>
      <c r="E19" s="269"/>
      <c r="F19" s="274"/>
      <c r="G19" s="274"/>
      <c r="H19" s="274"/>
      <c r="I19" s="269"/>
      <c r="J19" s="269"/>
      <c r="K19" s="269"/>
      <c r="L19" s="269"/>
      <c r="M19" s="269"/>
    </row>
    <row r="20" spans="2:13" x14ac:dyDescent="0.25">
      <c r="B20" s="296" t="str">
        <f>Vertaling!A183</f>
        <v>Lening Qredits</v>
      </c>
      <c r="C20" s="297">
        <f>IF(SUM('Investering &amp; Financiering'!D4:D14)+VRAGENLIJST!F113-'Investering &amp; Financiering'!H5-'Investering &amp; Financiering'!H6-'Investering &amp; Financiering'!H12&lt;0,0,SUM('Investering &amp; Financiering'!D4:D14)+VRAGENLIJST!F113-'Investering &amp; Financiering'!H5-'Investering &amp; Financiering'!H6-'Investering &amp; Financiering'!H12)</f>
        <v>0</v>
      </c>
      <c r="D20" s="274"/>
      <c r="E20" s="269"/>
      <c r="F20" s="270" t="str">
        <f>Vertaling!A192</f>
        <v>Voorwaarden (indicatie)</v>
      </c>
      <c r="G20" s="272"/>
      <c r="H20" s="286"/>
      <c r="I20" s="269"/>
      <c r="J20" s="269"/>
      <c r="K20" s="269"/>
      <c r="L20" s="269"/>
      <c r="M20" s="269"/>
    </row>
    <row r="21" spans="2:13" x14ac:dyDescent="0.25">
      <c r="B21" s="269"/>
      <c r="C21" s="274"/>
      <c r="D21" s="274"/>
      <c r="E21" s="269"/>
      <c r="F21" s="298" t="str">
        <f>Vertaling!A193</f>
        <v>Rentepercentage²</v>
      </c>
      <c r="G21" s="299"/>
      <c r="H21" s="300">
        <f>0.0995</f>
        <v>9.9500000000000005E-2</v>
      </c>
      <c r="I21" s="269"/>
      <c r="J21" s="269"/>
      <c r="K21" s="269"/>
      <c r="L21" s="269"/>
      <c r="M21" s="269"/>
    </row>
    <row r="22" spans="2:13" x14ac:dyDescent="0.25">
      <c r="B22" s="274"/>
      <c r="C22" s="301" t="str">
        <f>Vertaling!A184</f>
        <v>Vul in in hoeveel jaar je de lening wilt terugbetalen:</v>
      </c>
      <c r="D22" s="274"/>
      <c r="E22" s="269"/>
      <c r="F22" s="276" t="str">
        <f>Vertaling!A194</f>
        <v>Behandelkosten</v>
      </c>
      <c r="G22" s="302"/>
      <c r="H22" s="303">
        <f>'Qredits maandlasten'!J7</f>
        <v>0</v>
      </c>
      <c r="I22" s="269"/>
      <c r="J22" s="269"/>
      <c r="K22" s="269"/>
      <c r="L22" s="269"/>
      <c r="M22" s="269"/>
    </row>
    <row r="23" spans="2:13" ht="16.5" customHeight="1" x14ac:dyDescent="0.25">
      <c r="B23" s="235" t="str">
        <f>Vertaling!$A$187</f>
        <v>Selecteer:</v>
      </c>
      <c r="C23" s="217"/>
      <c r="D23" s="304" t="str">
        <f>Vertaling!A188</f>
        <v xml:space="preserve">  jaren</v>
      </c>
      <c r="F23" s="276" t="str">
        <f>Vertaling!A195</f>
        <v>Effectieve rente²</v>
      </c>
      <c r="G23" s="305"/>
      <c r="H23" s="306">
        <f ca="1">'Qredits maandlasten'!J10</f>
        <v>0</v>
      </c>
    </row>
    <row r="24" spans="2:13" x14ac:dyDescent="0.25">
      <c r="B24" s="274"/>
      <c r="C24" s="301" t="str">
        <f>Vertaling!A185</f>
        <v>Vul in na hoeveel maanden je wilt beginnen met aflossen?</v>
      </c>
      <c r="D24" s="15"/>
      <c r="F24" s="307" t="str">
        <f>Vertaling!A196</f>
        <v>Maandlasten³</v>
      </c>
      <c r="G24" s="308"/>
      <c r="H24" s="309"/>
    </row>
    <row r="25" spans="2:13" ht="16.5" customHeight="1" x14ac:dyDescent="0.25">
      <c r="B25" s="235" t="str">
        <f>Vertaling!$A$187</f>
        <v>Selecteer:</v>
      </c>
      <c r="C25" s="217"/>
      <c r="D25" s="304" t="str">
        <f>Vertaling!A189</f>
        <v xml:space="preserve">  maanden</v>
      </c>
      <c r="F25" s="276" t="str">
        <f>Vertaling!A197</f>
        <v>Bedrag annuïteit</v>
      </c>
      <c r="G25" s="143"/>
      <c r="H25" s="303" t="e">
        <f>'Qredits maandlasten'!J3</f>
        <v>#NUM!</v>
      </c>
    </row>
    <row r="26" spans="2:13" ht="16.5" customHeight="1" x14ac:dyDescent="0.25">
      <c r="B26" s="15"/>
      <c r="C26" s="301" t="str">
        <f>Vertaling!A186</f>
        <v>Kies de manier van aflossen:</v>
      </c>
      <c r="D26" s="15"/>
      <c r="F26" s="310" t="str">
        <f>Vertaling!A198</f>
        <v>² Onder voorbehoud van wijzigingen, kijk voor meer informatie op www.qredits.nl</v>
      </c>
      <c r="G26" s="16"/>
      <c r="H26" s="15"/>
    </row>
    <row r="27" spans="2:13" ht="15" customHeight="1" x14ac:dyDescent="0.25">
      <c r="B27" s="235" t="str">
        <f>Vertaling!$A$187</f>
        <v>Selecteer:</v>
      </c>
      <c r="C27" s="217"/>
      <c r="D27" s="411" t="str">
        <f>IF(C27="","",IF('Investering &amp; Financiering'!$C$27="Annuïteit",Vertaling!A190,Vertaling!A191))</f>
        <v/>
      </c>
      <c r="E27" s="411"/>
      <c r="F27" s="310" t="str">
        <f>Vertaling!A199</f>
        <v>³ Specificatie in 'Qredits maandlasten'</v>
      </c>
      <c r="G27" s="16"/>
      <c r="H27" s="15"/>
    </row>
    <row r="28" spans="2:13" x14ac:dyDescent="0.25">
      <c r="D28" s="411"/>
      <c r="E28" s="411"/>
    </row>
    <row r="56" s="3" customFormat="1" ht="14.25" customHeight="1" x14ac:dyDescent="0.25"/>
  </sheetData>
  <sheetProtection algorithmName="SHA-512" hashValue="HFgr74XBrWUNtebW4aGAqKZ+A8Y+ItvZJr6kCEBi8iRZOfEndu6bNoQjgEN/s39J74aX7sFaM1Amn4UCDqJUGw==" saltValue="UwjX3rKhhI0r7rx8Z+M40g==" spinCount="100000" sheet="1" formatColumns="0"/>
  <mergeCells count="1">
    <mergeCell ref="D27:E28"/>
  </mergeCells>
  <dataValidations count="3">
    <dataValidation type="list" allowBlank="1" showInputMessage="1" showErrorMessage="1" sqref="C25" xr:uid="{00000000-0002-0000-0300-000000000000}">
      <formula1>Maanden6</formula1>
    </dataValidation>
    <dataValidation type="list" allowBlank="1" showInputMessage="1" showErrorMessage="1" sqref="C23" xr:uid="{00000000-0002-0000-0300-000001000000}">
      <formula1>Looptijd</formula1>
    </dataValidation>
    <dataValidation type="list" allowBlank="1" showInputMessage="1" showErrorMessage="1" sqref="C27" xr:uid="{00000000-0002-0000-0300-000002000000}">
      <formula1>Aflosmethode</formula1>
    </dataValidation>
  </dataValidations>
  <hyperlinks>
    <hyperlink ref="J2" r:id="rId1" display="wat is dit?" xr:uid="{00000000-0004-0000-0300-000000000000}"/>
    <hyperlink ref="J5" location="VRAGENLIJST!A74" display="Klik hier om terug naar tabblad VRAGENLIJST te gaan" xr:uid="{00000000-0004-0000-0300-000001000000}"/>
  </hyperlinks>
  <pageMargins left="0.74791666666666667" right="0.74791666666666667" top="0.98402777777777772" bottom="0.98402777777777772" header="0.51180555555555551" footer="0.51180555555555551"/>
  <pageSetup paperSize="9" scale="81" firstPageNumber="0" fitToHeight="0" orientation="landscape"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232572"/>
    <pageSetUpPr fitToPage="1"/>
  </sheetPr>
  <dimension ref="A1:U48"/>
  <sheetViews>
    <sheetView workbookViewId="0">
      <selection activeCell="C3" sqref="C3"/>
    </sheetView>
  </sheetViews>
  <sheetFormatPr defaultRowHeight="14.25" customHeight="1" x14ac:dyDescent="0.25"/>
  <cols>
    <col min="1" max="1" width="3.140625" style="17" customWidth="1"/>
    <col min="2" max="2" width="24.85546875" style="314" customWidth="1"/>
    <col min="3" max="3" width="12.85546875" style="314" customWidth="1"/>
    <col min="4" max="15" width="10.7109375" style="314" customWidth="1"/>
    <col min="16" max="16" width="12.85546875" style="314" customWidth="1"/>
    <col min="17" max="17" width="3.7109375" style="314" customWidth="1"/>
    <col min="18" max="18" width="20.42578125" style="314" customWidth="1"/>
    <col min="19" max="19" width="9.42578125" style="17" customWidth="1"/>
    <col min="20" max="16384" width="9.140625" style="17"/>
  </cols>
  <sheetData>
    <row r="1" spans="1:18" ht="93" customHeight="1" x14ac:dyDescent="0.25">
      <c r="B1" s="311" t="str">
        <f>Vertaling!A204</f>
        <v>Liquiditeitsbegroting</v>
      </c>
      <c r="C1" s="55"/>
      <c r="D1" s="55"/>
      <c r="E1" s="55"/>
      <c r="F1" s="55"/>
      <c r="G1" s="55"/>
      <c r="H1" s="17"/>
      <c r="I1" s="17"/>
      <c r="J1" s="17"/>
      <c r="K1" s="17"/>
      <c r="L1" s="17"/>
      <c r="M1" s="17"/>
      <c r="N1" s="17"/>
      <c r="O1" s="17"/>
      <c r="P1" s="17"/>
      <c r="Q1" s="17"/>
      <c r="R1" s="17"/>
    </row>
    <row r="2" spans="1:18" ht="15" x14ac:dyDescent="0.25">
      <c r="B2" s="313"/>
      <c r="D2" s="315"/>
      <c r="R2" s="214" t="str">
        <f>Vertaling!A239</f>
        <v>Wat is dit?</v>
      </c>
    </row>
    <row r="3" spans="1:18" ht="14.25" customHeight="1" x14ac:dyDescent="0.25">
      <c r="B3" s="316" t="str">
        <f>Vertaling!A205</f>
        <v>Maand</v>
      </c>
      <c r="C3" s="317">
        <v>0</v>
      </c>
      <c r="D3" s="317">
        <v>1</v>
      </c>
      <c r="E3" s="317">
        <v>2</v>
      </c>
      <c r="F3" s="317">
        <v>3</v>
      </c>
      <c r="G3" s="317">
        <v>4</v>
      </c>
      <c r="H3" s="317">
        <v>5</v>
      </c>
      <c r="I3" s="317">
        <v>6</v>
      </c>
      <c r="J3" s="317">
        <v>7</v>
      </c>
      <c r="K3" s="317">
        <v>8</v>
      </c>
      <c r="L3" s="317">
        <v>9</v>
      </c>
      <c r="M3" s="317">
        <v>10</v>
      </c>
      <c r="N3" s="317">
        <v>11</v>
      </c>
      <c r="O3" s="317">
        <v>12</v>
      </c>
      <c r="P3" s="318" t="s">
        <v>52</v>
      </c>
    </row>
    <row r="4" spans="1:18" ht="14.25" customHeight="1" x14ac:dyDescent="0.25">
      <c r="B4" s="319"/>
      <c r="C4" s="319"/>
      <c r="D4" s="320"/>
      <c r="E4" s="320"/>
      <c r="F4" s="320"/>
      <c r="G4" s="320"/>
      <c r="H4" s="320"/>
      <c r="I4" s="320"/>
      <c r="J4" s="320"/>
      <c r="K4" s="320"/>
      <c r="L4" s="320"/>
      <c r="M4" s="320"/>
      <c r="N4" s="320"/>
      <c r="O4" s="320"/>
      <c r="P4" s="320"/>
    </row>
    <row r="5" spans="1:18" ht="14.25" customHeight="1" x14ac:dyDescent="0.25">
      <c r="B5" s="321" t="str">
        <f>Vertaling!A206</f>
        <v>Opening kas/bank</v>
      </c>
      <c r="C5" s="322"/>
      <c r="D5" s="322">
        <f t="shared" ref="D5" si="0">C46</f>
        <v>0</v>
      </c>
      <c r="E5" s="322">
        <f t="shared" ref="E5:O5" ca="1" si="1">D46</f>
        <v>0</v>
      </c>
      <c r="F5" s="322">
        <f t="shared" ca="1" si="1"/>
        <v>0</v>
      </c>
      <c r="G5" s="322">
        <f t="shared" ca="1" si="1"/>
        <v>0</v>
      </c>
      <c r="H5" s="322">
        <f t="shared" ca="1" si="1"/>
        <v>0</v>
      </c>
      <c r="I5" s="322">
        <f t="shared" ca="1" si="1"/>
        <v>0</v>
      </c>
      <c r="J5" s="322">
        <f t="shared" ca="1" si="1"/>
        <v>0</v>
      </c>
      <c r="K5" s="322">
        <f t="shared" ca="1" si="1"/>
        <v>0</v>
      </c>
      <c r="L5" s="322">
        <f t="shared" ca="1" si="1"/>
        <v>0</v>
      </c>
      <c r="M5" s="322">
        <f t="shared" ca="1" si="1"/>
        <v>0</v>
      </c>
      <c r="N5" s="322">
        <f t="shared" ca="1" si="1"/>
        <v>0</v>
      </c>
      <c r="O5" s="322">
        <f t="shared" ca="1" si="1"/>
        <v>0</v>
      </c>
      <c r="P5" s="323"/>
      <c r="R5" s="214"/>
    </row>
    <row r="6" spans="1:18" ht="14.25" customHeight="1" x14ac:dyDescent="0.25">
      <c r="B6" s="324"/>
      <c r="C6" s="324"/>
      <c r="D6" s="324"/>
      <c r="E6" s="324"/>
      <c r="F6" s="324"/>
      <c r="G6" s="324"/>
      <c r="H6" s="324"/>
      <c r="I6" s="324"/>
      <c r="J6" s="324"/>
      <c r="K6" s="324"/>
      <c r="L6" s="324"/>
      <c r="M6" s="324"/>
      <c r="N6" s="324"/>
      <c r="O6" s="324"/>
      <c r="P6" s="324"/>
    </row>
    <row r="7" spans="1:18" ht="14.25" customHeight="1" x14ac:dyDescent="0.25">
      <c r="B7" s="325" t="str">
        <f>Vertaling!A207</f>
        <v>Ontvangsten</v>
      </c>
      <c r="C7" s="326"/>
      <c r="D7" s="326"/>
      <c r="E7" s="326"/>
      <c r="F7" s="326"/>
      <c r="G7" s="326"/>
      <c r="H7" s="326"/>
      <c r="I7" s="326"/>
      <c r="J7" s="326"/>
      <c r="K7" s="326"/>
      <c r="L7" s="326"/>
      <c r="M7" s="326"/>
      <c r="N7" s="326"/>
      <c r="O7" s="326"/>
      <c r="P7" s="327"/>
    </row>
    <row r="8" spans="1:18" ht="14.25" customHeight="1" x14ac:dyDescent="0.25">
      <c r="A8" s="56"/>
      <c r="B8" s="328" t="str">
        <f>Vertaling!A208</f>
        <v xml:space="preserve"> Lening Qredits</v>
      </c>
      <c r="C8" s="329">
        <f>'Qredits maandlasten'!C5-'Qredits maandlasten'!C6</f>
        <v>0</v>
      </c>
      <c r="D8" s="330"/>
      <c r="E8" s="330"/>
      <c r="F8" s="330"/>
      <c r="G8" s="330"/>
      <c r="H8" s="330"/>
      <c r="I8" s="330"/>
      <c r="J8" s="330"/>
      <c r="K8" s="330"/>
      <c r="L8" s="330"/>
      <c r="M8" s="330"/>
      <c r="N8" s="330"/>
      <c r="O8" s="330"/>
      <c r="P8" s="331">
        <f>SUM(C8:O8)</f>
        <v>0</v>
      </c>
    </row>
    <row r="9" spans="1:18" ht="14.25" customHeight="1" x14ac:dyDescent="0.25">
      <c r="B9" s="328" t="str">
        <f>Vertaling!A209</f>
        <v xml:space="preserve"> Eigen inbreng in contant</v>
      </c>
      <c r="C9" s="329">
        <f>VRAGENLIJST!F116</f>
        <v>0</v>
      </c>
      <c r="D9" s="330"/>
      <c r="E9" s="330"/>
      <c r="F9" s="330"/>
      <c r="G9" s="330"/>
      <c r="H9" s="330"/>
      <c r="I9" s="330"/>
      <c r="J9" s="330"/>
      <c r="K9" s="330"/>
      <c r="L9" s="330"/>
      <c r="M9" s="330"/>
      <c r="N9" s="330"/>
      <c r="O9" s="330"/>
      <c r="P9" s="331">
        <f>SUM(C9:O9)</f>
        <v>0</v>
      </c>
    </row>
    <row r="10" spans="1:18" ht="14.25" customHeight="1" x14ac:dyDescent="0.25">
      <c r="B10" s="328" t="str">
        <f>Vertaling!A210</f>
        <v xml:space="preserve"> Overige lening(en)</v>
      </c>
      <c r="C10" s="329">
        <f>VRAGENLIJST!$F$118+VRAGENLIJST!$F$126</f>
        <v>0</v>
      </c>
      <c r="D10" s="330"/>
      <c r="E10" s="330"/>
      <c r="F10" s="330"/>
      <c r="G10" s="330"/>
      <c r="H10" s="330"/>
      <c r="I10" s="330"/>
      <c r="J10" s="330"/>
      <c r="K10" s="330"/>
      <c r="L10" s="330"/>
      <c r="M10" s="330"/>
      <c r="N10" s="330"/>
      <c r="O10" s="330"/>
      <c r="P10" s="331">
        <f>SUM(C10:O10)</f>
        <v>0</v>
      </c>
    </row>
    <row r="11" spans="1:18" ht="14.25" customHeight="1" x14ac:dyDescent="0.25">
      <c r="B11" s="328" t="str">
        <f>Vertaling!A211</f>
        <v xml:space="preserve"> Omzet product 1 (excl. btw)</v>
      </c>
      <c r="C11" s="330"/>
      <c r="D11" s="329">
        <f>IF(VRAGENLIJST!$D$202="",0,IF(OR(VRAGENLIJST!$D$202=dropdowns!$B$44,VRAGENLIJST!$D$202=dropdowns!$C$44,VRAGENLIJST!$D$202=dropdowns!$D$44,VRAGENLIJST!$D$202=dropdowns!$E$44),VRAGENLIJST!$D$206,IF(OR(VRAGENLIJST!$D$202=dropdowns!$B$45,VRAGENLIJST!$D$202=dropdowns!$C$45,VRAGENLIJST!$D$202=dropdowns!$D$45,VRAGENLIJST!$D$202=dropdowns!$E$45),VRAGENLIJST!$D$206*0.5,0)))</f>
        <v>0</v>
      </c>
      <c r="E11" s="329">
        <f ca="1">IF(VRAGENLIJST!$D$202="",0,IF(OR(VRAGENLIJST!$D$202=dropdowns!$B$44,VRAGENLIJST!$D$202=dropdowns!$C$44,VRAGENLIJST!$D$202=dropdowns!$D$44,VRAGENLIJST!$D$202=dropdowns!$E$44),OFFSET(VRAGENLIJST!$D$206,(COLUMN(E11)-COLUMN($D$11))*2,0),IF(OR(VRAGENLIJST!$D$202=dropdowns!$B$45,VRAGENLIJST!$D$202=dropdowns!$C$45,VRAGENLIJST!$D$202=dropdowns!$D$45,VRAGENLIJST!$D$202=dropdowns!$E$45),VRAGENLIJST!$D$206*0.5+(OFFSET(VRAGENLIJST!$D$206,(COLUMN(E11)-COLUMN($D$11))*2,0))*0.5,IF(OR(VRAGENLIJST!$D$202=dropdowns!$B$46,VRAGENLIJST!$D$202=dropdowns!$C$46,VRAGENLIJST!$D$202=dropdowns!$D$46,VRAGENLIJST!$D$202=dropdowns!$E$46),VRAGENLIJST!$D$206,0))))</f>
        <v>0</v>
      </c>
      <c r="F11" s="329">
        <f ca="1">IF(VRAGENLIJST!$D$202="",0,IF(OR(VRAGENLIJST!$D$202=dropdowns!$B$44,VRAGENLIJST!$D$202=dropdowns!$C$44, VRAGENLIJST!$D$202=dropdowns!$D$44,VRAGENLIJST!$D$202=dropdowns!$E$44),OFFSET(VRAGENLIJST!$D$206,(COLUMN(F11)-COLUMN($D$11))*2,0),IF(OR(VRAGENLIJST!$D$202=dropdowns!$B$45,VRAGENLIJST!$D$202=dropdowns!$C$45,VRAGENLIJST!$D$202=dropdowns!$D$45,VRAGENLIJST!$D$202=dropdowns!$E$45),OFFSET(VRAGENLIJST!$D$206,Liquiditeit!F3*2-4,0)*0.5+(OFFSET(VRAGENLIJST!$D$206,(COLUMN(F11)-COLUMN($D$11))*2,0))*0.5,IF(OR(VRAGENLIJST!$D$202=dropdowns!$B$46,VRAGENLIJST!$D$202=dropdowns!$C$46,VRAGENLIJST!$D$202=dropdowns!$D$46,VRAGENLIJST!$D$202=dropdowns!$E$46),OFFSET(VRAGENLIJST!$D$206,Liquiditeit!F3*2-4,0),IF(OR(VRAGENLIJST!$D$202=dropdowns!$B$47,VRAGENLIJST!$D$202=dropdowns!$C$47,VRAGENLIJST!$D$202=dropdowns!$D$47,VRAGENLIJST!$D$202=dropdowns!$E$47),VRAGENLIJST!$D$206,0)))))</f>
        <v>0</v>
      </c>
      <c r="G11" s="329">
        <f ca="1">IF(VRAGENLIJST!$D$202="",0,IF(OR(VRAGENLIJST!$D$202=dropdowns!$B$44,VRAGENLIJST!$D$202=dropdowns!$C$44, VRAGENLIJST!$D$202=dropdowns!$D$44,VRAGENLIJST!$D$202=dropdowns!$E$44),OFFSET(VRAGENLIJST!$D$206,(COLUMN(G11)-COLUMN($D$11))*2,0),IF(OR(VRAGENLIJST!$D$202=dropdowns!$B$45,VRAGENLIJST!$D$202=dropdowns!$C$45,VRAGENLIJST!$D$202=dropdowns!$D$45,VRAGENLIJST!$D$202=dropdowns!$E$45),OFFSET(VRAGENLIJST!$D$206,Liquiditeit!G3*2-4,0)*0.5+(OFFSET(VRAGENLIJST!$D$206,(COLUMN(G11)-COLUMN($D$11))*2,0))*0.5,IF(OR(VRAGENLIJST!$D$202=dropdowns!$B$46,VRAGENLIJST!$D$202=dropdowns!$C$46,VRAGENLIJST!$D$202=dropdowns!$D$46,VRAGENLIJST!$D$202=dropdowns!$E$46),OFFSET(VRAGENLIJST!$D$206,Liquiditeit!G3*2-4,0),IF(OR(VRAGENLIJST!$D$202=dropdowns!$B$47,VRAGENLIJST!$D$202=dropdowns!$C$47,VRAGENLIJST!$D$202=dropdowns!$D$47,VRAGENLIJST!$D$202=dropdowns!$E$47),OFFSET(VRAGENLIJST!$D$206,Liquiditeit!G3*2-6,0),IF(OR(VRAGENLIJST!$D$202=dropdowns!$B$48,VRAGENLIJST!$D$202=dropdowns!$C$48,VRAGENLIJST!$D$202=dropdowns!$D$48,VRAGENLIJST!$D$202=dropdowns!$E$48),VRAGENLIJST!$D$206,0))))))</f>
        <v>0</v>
      </c>
      <c r="H11" s="329">
        <f ca="1">IF(VRAGENLIJST!$D$202="",0,IF(OR(VRAGENLIJST!$D$202=dropdowns!$B$44,VRAGENLIJST!$D$202=dropdowns!$C$44, VRAGENLIJST!$D$202=dropdowns!$D$44,VRAGENLIJST!$D$202=dropdowns!$E$44),OFFSET(VRAGENLIJST!$D$206,(COLUMN(H11)-COLUMN($D$11))*2,0),IF(OR(VRAGENLIJST!$D$202=dropdowns!$B$45,VRAGENLIJST!$D$202=dropdowns!$C$45,VRAGENLIJST!$D$202=dropdowns!$D$45,VRAGENLIJST!$D$202=dropdowns!$E$45),OFFSET(VRAGENLIJST!$D$206,Liquiditeit!H3*2-4,0)*0.5+(OFFSET(VRAGENLIJST!$D$206,(COLUMN(H11)-COLUMN($D$11))*2,0))*0.5,IF(OR(VRAGENLIJST!$D$202=dropdowns!$B$46,VRAGENLIJST!$D$202=dropdowns!$C$46,VRAGENLIJST!$D$202=dropdowns!$D$46,VRAGENLIJST!$D$202=dropdowns!$E$46),OFFSET(VRAGENLIJST!$D$206,Liquiditeit!H3*2-4,0),IF(OR(VRAGENLIJST!$D$202=dropdowns!$B$47,VRAGENLIJST!$D$202=dropdowns!$C$47,VRAGENLIJST!$D$202=dropdowns!$D$47,VRAGENLIJST!$D$202=dropdowns!$E$47),OFFSET(VRAGENLIJST!$D$206,Liquiditeit!H3*2-6,0),IF(OR(VRAGENLIJST!$D$202=dropdowns!$B$48,VRAGENLIJST!$D$202=dropdowns!$C$48,VRAGENLIJST!$D$202=dropdowns!$D$48,VRAGENLIJST!$D$202=dropdowns!$E$48),OFFSET(VRAGENLIJST!$D$206,Liquiditeit!H3*2-8,0),0))))))</f>
        <v>0</v>
      </c>
      <c r="I11" s="329">
        <f ca="1">IF(VRAGENLIJST!$D$202="",0,IF(OR(VRAGENLIJST!$D$202=dropdowns!$B$44,VRAGENLIJST!$D$202=dropdowns!$C$44, VRAGENLIJST!$D$202=dropdowns!$D$44,VRAGENLIJST!$D$202=dropdowns!$E$44),OFFSET(VRAGENLIJST!$D$206,(COLUMN(I11)-COLUMN($D$11))*2,0),IF(OR(VRAGENLIJST!$D$202=dropdowns!$B$45,VRAGENLIJST!$D$202=dropdowns!$C$45,VRAGENLIJST!$D$202=dropdowns!$D$45,VRAGENLIJST!$D$202=dropdowns!$E$45),OFFSET(VRAGENLIJST!$D$206,Liquiditeit!I3*2-4,0)*0.5+(OFFSET(VRAGENLIJST!$D$206,(COLUMN(I11)-COLUMN($D$11))*2,0))*0.5,IF(OR(VRAGENLIJST!$D$202=dropdowns!$B$46,VRAGENLIJST!$D$202=dropdowns!$C$46,VRAGENLIJST!$D$202=dropdowns!$D$46,VRAGENLIJST!$D$202=dropdowns!$E$46),OFFSET(VRAGENLIJST!$D$206,Liquiditeit!I3*2-4,0),IF(OR(VRAGENLIJST!$D$202=dropdowns!$B$47,VRAGENLIJST!$D$202=dropdowns!$C$47,VRAGENLIJST!$D$202=dropdowns!$D$47,VRAGENLIJST!$D$202=dropdowns!$E$47),OFFSET(VRAGENLIJST!$D$206,Liquiditeit!I3*2-6,0),IF(OR(VRAGENLIJST!$D$202=dropdowns!$B$48,VRAGENLIJST!$D$202=dropdowns!$C$48,VRAGENLIJST!$D$202=dropdowns!$D$48,VRAGENLIJST!$D$202=dropdowns!$E$48),OFFSET(VRAGENLIJST!$D$206,Liquiditeit!I3*2-8,0),0))))))</f>
        <v>0</v>
      </c>
      <c r="J11" s="329">
        <f ca="1">IF(VRAGENLIJST!$D$202="",0,IF(OR(VRAGENLIJST!$D$202=dropdowns!$B$44,VRAGENLIJST!$D$202=dropdowns!$C$44, VRAGENLIJST!$D$202=dropdowns!$D$44,VRAGENLIJST!$D$202=dropdowns!$E$44),OFFSET(VRAGENLIJST!$D$206,(COLUMN(J11)-COLUMN($D$11))*2,0),IF(OR(VRAGENLIJST!$D$202=dropdowns!$B$45,VRAGENLIJST!$D$202=dropdowns!$C$45,VRAGENLIJST!$D$202=dropdowns!$D$45,VRAGENLIJST!$D$202=dropdowns!$E$45),OFFSET(VRAGENLIJST!$D$206,Liquiditeit!J3*2-4,0)*0.5+(OFFSET(VRAGENLIJST!$D$206,(COLUMN(J11)-COLUMN($D$11))*2,0))*0.5,IF(OR(VRAGENLIJST!$D$202=dropdowns!$B$46,VRAGENLIJST!$D$202=dropdowns!$C$46,VRAGENLIJST!$D$202=dropdowns!$D$46,VRAGENLIJST!$D$202=dropdowns!$E$46),OFFSET(VRAGENLIJST!$D$206,Liquiditeit!J3*2-4,0),IF(OR(VRAGENLIJST!$D$202=dropdowns!$B$47,VRAGENLIJST!$D$202=dropdowns!$C$47,VRAGENLIJST!$D$202=dropdowns!$D$47,VRAGENLIJST!$D$202=dropdowns!$E$47),OFFSET(VRAGENLIJST!$D$206,Liquiditeit!J3*2-6,0),IF(OR(VRAGENLIJST!$D$202=dropdowns!$B$48,VRAGENLIJST!$D$202=dropdowns!$C$48,VRAGENLIJST!$D$202=dropdowns!$D$48,VRAGENLIJST!$D$202=dropdowns!$E$48),OFFSET(VRAGENLIJST!$D$206,Liquiditeit!J3*2-8,0),0))))))</f>
        <v>0</v>
      </c>
      <c r="K11" s="329">
        <f ca="1">IF(VRAGENLIJST!$D$202="",0,IF(OR(VRAGENLIJST!$D$202=dropdowns!$B$44,VRAGENLIJST!$D$202=dropdowns!$C$44, VRAGENLIJST!$D$202=dropdowns!$D$44,VRAGENLIJST!$D$202=dropdowns!$E$44),OFFSET(VRAGENLIJST!$D$206,(COLUMN(K11)-COLUMN($D$11))*2,0),IF(OR(VRAGENLIJST!$D$202=dropdowns!$B$45,VRAGENLIJST!$D$202=dropdowns!$C$45,VRAGENLIJST!$D$202=dropdowns!$D$45,VRAGENLIJST!$D$202=dropdowns!$E$45),OFFSET(VRAGENLIJST!$D$206,Liquiditeit!K3*2-4,0)*0.5+(OFFSET(VRAGENLIJST!$D$206,(COLUMN(K11)-COLUMN($D$11))*2,0))*0.5,IF(OR(VRAGENLIJST!$D$202=dropdowns!$B$46,VRAGENLIJST!$D$202=dropdowns!$C$46,VRAGENLIJST!$D$202=dropdowns!$D$46,VRAGENLIJST!$D$202=dropdowns!$E$46),OFFSET(VRAGENLIJST!$D$206,Liquiditeit!K3*2-4,0),IF(OR(VRAGENLIJST!$D$202=dropdowns!$B$47,VRAGENLIJST!$D$202=dropdowns!$C$47,VRAGENLIJST!$D$202=dropdowns!$D$47,VRAGENLIJST!$D$202=dropdowns!$E$47),OFFSET(VRAGENLIJST!$D$206,Liquiditeit!K3*2-6,0),IF(OR(VRAGENLIJST!$D$202=dropdowns!$B$48,VRAGENLIJST!$D$202=dropdowns!$C$48,VRAGENLIJST!$D$202=dropdowns!$D$48,VRAGENLIJST!$D$202=dropdowns!$E$48),OFFSET(VRAGENLIJST!$D$206,Liquiditeit!K3*2-8,0),0))))))</f>
        <v>0</v>
      </c>
      <c r="L11" s="329">
        <f ca="1">IF(VRAGENLIJST!$D$202="",0,IF(OR(VRAGENLIJST!$D$202=dropdowns!$B$44,VRAGENLIJST!$D$202=dropdowns!$C$44, VRAGENLIJST!$D$202=dropdowns!$D$44,VRAGENLIJST!$D$202=dropdowns!$E$44),OFFSET(VRAGENLIJST!$D$206,(COLUMN(L11)-COLUMN($D$11))*2,0),IF(OR(VRAGENLIJST!$D$202=dropdowns!$B$45,VRAGENLIJST!$D$202=dropdowns!$C$45,VRAGENLIJST!$D$202=dropdowns!$D$45,VRAGENLIJST!$D$202=dropdowns!$E$45),OFFSET(VRAGENLIJST!$D$206,Liquiditeit!L3*2-4,0)*0.5+(OFFSET(VRAGENLIJST!$D$206,(COLUMN(L11)-COLUMN($D$11))*2,0))*0.5,IF(OR(VRAGENLIJST!$D$202=dropdowns!$B$46,VRAGENLIJST!$D$202=dropdowns!$C$46,VRAGENLIJST!$D$202=dropdowns!$D$46,VRAGENLIJST!$D$202=dropdowns!$E$46),OFFSET(VRAGENLIJST!$D$206,Liquiditeit!L3*2-4,0),IF(OR(VRAGENLIJST!$D$202=dropdowns!$B$47,VRAGENLIJST!$D$202=dropdowns!$C$47,VRAGENLIJST!$D$202=dropdowns!$D$47,VRAGENLIJST!$D$202=dropdowns!$E$47),OFFSET(VRAGENLIJST!$D$206,Liquiditeit!L3*2-6,0),IF(OR(VRAGENLIJST!$D$202=dropdowns!$B$48,VRAGENLIJST!$D$202=dropdowns!$C$48,VRAGENLIJST!$D$202=dropdowns!$D$48,VRAGENLIJST!$D$202=dropdowns!$E$48),OFFSET(VRAGENLIJST!$D$206,Liquiditeit!L3*2-8,0),0))))))</f>
        <v>0</v>
      </c>
      <c r="M11" s="329">
        <f ca="1">IF(VRAGENLIJST!$D$202="",0,IF(OR(VRAGENLIJST!$D$202=dropdowns!$B$44,VRAGENLIJST!$D$202=dropdowns!$C$44, VRAGENLIJST!$D$202=dropdowns!$D$44,VRAGENLIJST!$D$202=dropdowns!$E$44),OFFSET(VRAGENLIJST!$D$206,(COLUMN(M11)-COLUMN($D$11))*2,0),IF(OR(VRAGENLIJST!$D$202=dropdowns!$B$45,VRAGENLIJST!$D$202=dropdowns!$C$45,VRAGENLIJST!$D$202=dropdowns!$D$45,VRAGENLIJST!$D$202=dropdowns!$E$45),OFFSET(VRAGENLIJST!$D$206,Liquiditeit!M3*2-4,0)*0.5+(OFFSET(VRAGENLIJST!$D$206,(COLUMN(M11)-COLUMN($D$11))*2,0))*0.5,IF(OR(VRAGENLIJST!$D$202=dropdowns!$B$46,VRAGENLIJST!$D$202=dropdowns!$C$46,VRAGENLIJST!$D$202=dropdowns!$D$46,VRAGENLIJST!$D$202=dropdowns!$E$46),OFFSET(VRAGENLIJST!$D$206,Liquiditeit!M3*2-4,0),IF(OR(VRAGENLIJST!$D$202=dropdowns!$B$47,VRAGENLIJST!$D$202=dropdowns!$C$47,VRAGENLIJST!$D$202=dropdowns!$D$47,VRAGENLIJST!$D$202=dropdowns!$E$47),OFFSET(VRAGENLIJST!$D$206,Liquiditeit!M3*2-6,0),IF(OR(VRAGENLIJST!$D$202=dropdowns!$B$48,VRAGENLIJST!$D$202=dropdowns!$C$48,VRAGENLIJST!$D$202=dropdowns!$D$48,VRAGENLIJST!$D$202=dropdowns!$E$48),OFFSET(VRAGENLIJST!$D$206,Liquiditeit!M3*2-8,0),0))))))</f>
        <v>0</v>
      </c>
      <c r="N11" s="329">
        <f ca="1">IF(VRAGENLIJST!$D$202="",0,IF(OR(VRAGENLIJST!$D$202=dropdowns!$B$44,VRAGENLIJST!$D$202=dropdowns!$C$44, VRAGENLIJST!$D$202=dropdowns!$D$44,VRAGENLIJST!$D$202=dropdowns!$E$44),OFFSET(VRAGENLIJST!$D$206,(COLUMN(N11)-COLUMN($D$11))*2,0),IF(OR(VRAGENLIJST!$D$202=dropdowns!$B$45,VRAGENLIJST!$D$202=dropdowns!$C$45,VRAGENLIJST!$D$202=dropdowns!$D$45,VRAGENLIJST!$D$202=dropdowns!$E$45),OFFSET(VRAGENLIJST!$D$206,Liquiditeit!N3*2-4,0)*0.5+(OFFSET(VRAGENLIJST!$D$206,(COLUMN(N11)-COLUMN($D$11))*2,0))*0.5,IF(OR(VRAGENLIJST!$D$202=dropdowns!$B$46,VRAGENLIJST!$D$202=dropdowns!$C$46,VRAGENLIJST!$D$202=dropdowns!$D$46,VRAGENLIJST!$D$202=dropdowns!$E$46),OFFSET(VRAGENLIJST!$D$206,Liquiditeit!N3*2-4,0),IF(OR(VRAGENLIJST!$D$202=dropdowns!$B$47,VRAGENLIJST!$D$202=dropdowns!$C$47,VRAGENLIJST!$D$202=dropdowns!$D$47,VRAGENLIJST!$D$202=dropdowns!$E$47),OFFSET(VRAGENLIJST!$D$206,Liquiditeit!N3*2-6,0),IF(OR(VRAGENLIJST!$D$202=dropdowns!$B$48,VRAGENLIJST!$D$202=dropdowns!$C$48,VRAGENLIJST!$D$202=dropdowns!$D$48,VRAGENLIJST!$D$202=dropdowns!$E$48),OFFSET(VRAGENLIJST!$D$206,Liquiditeit!N3*2-8,0),0))))))</f>
        <v>0</v>
      </c>
      <c r="O11" s="329">
        <f ca="1">IF(VRAGENLIJST!$D$202="",0,IF(OR(VRAGENLIJST!$D$202=dropdowns!$B$44,VRAGENLIJST!$D$202=dropdowns!$C$44, VRAGENLIJST!$D$202=dropdowns!$D$44,VRAGENLIJST!$D$202=dropdowns!$E$44),OFFSET(VRAGENLIJST!$D$206,(COLUMN(O11)-COLUMN($D$11))*2,0),IF(OR(VRAGENLIJST!$D$202=dropdowns!$B$45,VRAGENLIJST!$D$202=dropdowns!$C$45,VRAGENLIJST!$D$202=dropdowns!$D$45,VRAGENLIJST!$D$202=dropdowns!$E$45),OFFSET(VRAGENLIJST!$D$206,Liquiditeit!O3*2-4,0)*0.5+(OFFSET(VRAGENLIJST!$D$206,(COLUMN(O11)-COLUMN($D$11))*2,0))*0.5,IF(OR(VRAGENLIJST!$D$202=dropdowns!$B$46,VRAGENLIJST!$D$202=dropdowns!$C$46,VRAGENLIJST!$D$202=dropdowns!$D$46,VRAGENLIJST!$D$202=dropdowns!$E$46),OFFSET(VRAGENLIJST!$D$206,Liquiditeit!O3*2-4,0),IF(OR(VRAGENLIJST!$D$202=dropdowns!$B$47,VRAGENLIJST!$D$202=dropdowns!$C$47,VRAGENLIJST!$D$202=dropdowns!$D$47,VRAGENLIJST!$D$202=dropdowns!$E$47),OFFSET(VRAGENLIJST!$D$206,Liquiditeit!O3*2-6,0),IF(OR(VRAGENLIJST!$D$202=dropdowns!$B$48,VRAGENLIJST!$D$202=dropdowns!$C$48,VRAGENLIJST!$D$202=dropdowns!$D$48,VRAGENLIJST!$D$202=dropdowns!$E$48),OFFSET(VRAGENLIJST!$D$206,Liquiditeit!O3*2-8,0),0))))))</f>
        <v>0</v>
      </c>
      <c r="P11" s="331">
        <f ca="1">SUM(D11:O11)</f>
        <v>0</v>
      </c>
    </row>
    <row r="12" spans="1:18" ht="14.25" customHeight="1" x14ac:dyDescent="0.25">
      <c r="B12" s="328" t="str">
        <f>Vertaling!A212</f>
        <v xml:space="preserve"> Omzet product 2 (excl. btw)</v>
      </c>
      <c r="C12" s="330"/>
      <c r="D12" s="329">
        <f>IF(VRAGENLIJST!$F$202="",0,IF(OR(VRAGENLIJST!$F$202=dropdowns!$B$44,VRAGENLIJST!$F$202=dropdowns!$C$44,VRAGENLIJST!$F$202=dropdowns!$D$44,VRAGENLIJST!$F$202=dropdowns!$E$44),VRAGENLIJST!$F$206,IF(OR(VRAGENLIJST!$F$202=dropdowns!$B$45,VRAGENLIJST!$F$202=dropdowns!$C$45,VRAGENLIJST!$F$202=dropdowns!$D$45,VRAGENLIJST!$F$202=dropdowns!$E$45),VRAGENLIJST!$F$206*0.5,0)))</f>
        <v>0</v>
      </c>
      <c r="E12" s="329">
        <f ca="1">IF(VRAGENLIJST!$F$202="",0,IF(OR(VRAGENLIJST!$F$202=dropdowns!$B$44,VRAGENLIJST!$F$202=dropdowns!$C$44,VRAGENLIJST!$F$202=dropdowns!$D$44,VRAGENLIJST!$F$202=dropdowns!$E$44),OFFSET(VRAGENLIJST!$F$206,(COLUMN(E12)-COLUMN($D$12))*2,0),IF(OR(VRAGENLIJST!$F$202=dropdowns!$B$45,VRAGENLIJST!$F$202=dropdowns!$C$45,VRAGENLIJST!$F$202=dropdowns!$D$45,VRAGENLIJST!$F$202=dropdowns!$E$45),VRAGENLIJST!$F$206*0.5+(OFFSET(VRAGENLIJST!$F$206,(COLUMN(E12)-COLUMN($D$12))*2,0))*0.5,IF(OR(VRAGENLIJST!$F$202=dropdowns!$B$46,VRAGENLIJST!$F$202=dropdowns!$C$46,VRAGENLIJST!$F$202=dropdowns!$D$46,VRAGENLIJST!$F$202=dropdowns!$E$46),VRAGENLIJST!$F$206,0))))</f>
        <v>0</v>
      </c>
      <c r="F12" s="329">
        <f ca="1">IF(VRAGENLIJST!$F$202="",0,IF(OR(VRAGENLIJST!$F$202=dropdowns!$B$44,VRAGENLIJST!$F$202=dropdowns!$C$44,VRAGENLIJST!$F$202=dropdowns!$D$44,VRAGENLIJST!$F$202=dropdowns!$E$44),OFFSET(VRAGENLIJST!$F$206,(COLUMN(F12)-COLUMN($D$12))*2,0),IF(OR(VRAGENLIJST!$F$202=dropdowns!$B$45,VRAGENLIJST!$F$202=dropdowns!$C$45,VRAGENLIJST!$F$202=dropdowns!$D$45,VRAGENLIJST!$F$202=dropdowns!$E$45),OFFSET(VRAGENLIJST!$F$206,Liquiditeit!F3*2-4,0)*0.5+(OFFSET(VRAGENLIJST!$F$206,(COLUMN(F12)-COLUMN($D$12))*2,0))*0.5,IF(OR(VRAGENLIJST!$F$202=dropdowns!$B$46,VRAGENLIJST!$F$202=dropdowns!$C$46,VRAGENLIJST!$F$202=dropdowns!$D$46,VRAGENLIJST!$F$202=dropdowns!$E$46),OFFSET(VRAGENLIJST!$F$206,Liquiditeit!F3*2-4,0),IF(OR(VRAGENLIJST!$F$202=dropdowns!$B$47,VRAGENLIJST!$F$202=dropdowns!$C$47,VRAGENLIJST!$F$202=dropdowns!$D$47,VRAGENLIJST!$F$202=dropdowns!$E$47),VRAGENLIJST!$F$206,0)))))</f>
        <v>0</v>
      </c>
      <c r="G12" s="329">
        <f ca="1">IF(VRAGENLIJST!$F$202="",0,IF(OR(VRAGENLIJST!$F$202=dropdowns!$B$44,VRAGENLIJST!$F$202=dropdowns!$C$44,VRAGENLIJST!$F$202=dropdowns!$D$44,VRAGENLIJST!$F$202=dropdowns!$E$44),OFFSET(VRAGENLIJST!$F$206,(COLUMN(G12)-COLUMN($D$12))*2,0),IF(OR(VRAGENLIJST!$F$202=dropdowns!$B$45,VRAGENLIJST!$F$202=dropdowns!$C$45,VRAGENLIJST!$F$202=dropdowns!$D$45,VRAGENLIJST!$F$202=dropdowns!$E$45),OFFSET(VRAGENLIJST!$F$206,Liquiditeit!G3*2-4,0)*0.5+(OFFSET(VRAGENLIJST!$F$206,(COLUMN(G12)-COLUMN($D$12))*2,0))*0.5,IF(OR(VRAGENLIJST!$F$202=dropdowns!$B$46,VRAGENLIJST!$F$202=dropdowns!$C$46,VRAGENLIJST!$F$202=dropdowns!$D$46,VRAGENLIJST!$F$202=dropdowns!$E$46),OFFSET(VRAGENLIJST!$F$206,Liquiditeit!G3*2-4,0),IF(OR(VRAGENLIJST!$F$202=dropdowns!$B$47,VRAGENLIJST!$F$202=dropdowns!$C$47,VRAGENLIJST!$F$202=dropdowns!$D$47,VRAGENLIJST!$F$202=dropdowns!$E$47),OFFSET(VRAGENLIJST!$F$206,Liquiditeit!G3*2-6,0),IF(OR(VRAGENLIJST!$F$202=dropdowns!$B$48,VRAGENLIJST!$F$202=dropdowns!$C$48,VRAGENLIJST!$F$202=dropdowns!$D$48,VRAGENLIJST!$F$202=dropdowns!$E$48),VRAGENLIJST!$F$206,0))))))</f>
        <v>0</v>
      </c>
      <c r="H12" s="329">
        <f ca="1">IF(VRAGENLIJST!$F$202="",0,IF(OR(VRAGENLIJST!$F$202=dropdowns!$B$44,VRAGENLIJST!$F$202=dropdowns!$C$44,VRAGENLIJST!$F$202=dropdowns!$D$44,VRAGENLIJST!$F$202=dropdowns!$E$44),OFFSET(VRAGENLIJST!$F$206,(COLUMN(H12)-COLUMN($D$12))*2,0),IF(OR(VRAGENLIJST!$F$202=dropdowns!$B$45,VRAGENLIJST!$F$202=dropdowns!$C$45,VRAGENLIJST!$F$202=dropdowns!$D$45,VRAGENLIJST!$F$202=dropdowns!$E$45),OFFSET(VRAGENLIJST!$F$206,Liquiditeit!H3*2-4,0)*0.5+(OFFSET(VRAGENLIJST!$F$206,(COLUMN(H12)-COLUMN($D$12))*2,0))*0.5,IF(OR(VRAGENLIJST!$F$202=dropdowns!$B$46,VRAGENLIJST!$F$202=dropdowns!$C$46,VRAGENLIJST!$F$202=dropdowns!$D$46,VRAGENLIJST!$F$202=dropdowns!$E$46),OFFSET(VRAGENLIJST!$F$206,Liquiditeit!H3*2-4,0),IF(OR(VRAGENLIJST!$F$202=dropdowns!$B$47,VRAGENLIJST!$F$202=dropdowns!$C$47,VRAGENLIJST!$F$202=dropdowns!$D$47,VRAGENLIJST!$F$202=dropdowns!$E$47),OFFSET(VRAGENLIJST!$F$206,Liquiditeit!H3*2-6,0),IF(OR(VRAGENLIJST!$F$202=dropdowns!$B$48,VRAGENLIJST!$F$202=dropdowns!$C$48,VRAGENLIJST!$F$202=dropdowns!$D$48,VRAGENLIJST!$F$202=dropdowns!$E$48),OFFSET(VRAGENLIJST!$F$206,Liquiditeit!H3*2-8,0),0))))))</f>
        <v>0</v>
      </c>
      <c r="I12" s="329">
        <f ca="1">IF(VRAGENLIJST!$F$202="",0,IF(OR(VRAGENLIJST!$F$202=dropdowns!$B$44,VRAGENLIJST!$F$202=dropdowns!$C$44,VRAGENLIJST!$F$202=dropdowns!$D$44,VRAGENLIJST!$F$202=dropdowns!$E$44),OFFSET(VRAGENLIJST!$F$206,(COLUMN(I12)-COLUMN($D$12))*2,0),IF(OR(VRAGENLIJST!$F$202=dropdowns!$B$45,VRAGENLIJST!$F$202=dropdowns!$C$45,VRAGENLIJST!$F$202=dropdowns!$D$45,VRAGENLIJST!$F$202=dropdowns!$E$45),OFFSET(VRAGENLIJST!$F$206,Liquiditeit!I3*2-4,0)*0.5+(OFFSET(VRAGENLIJST!$F$206,(COLUMN(I12)-COLUMN($D$12))*2,0))*0.5,IF(OR(VRAGENLIJST!$F$202=dropdowns!$B$46,VRAGENLIJST!$F$202=dropdowns!$C$46,VRAGENLIJST!$F$202=dropdowns!$D$46,VRAGENLIJST!$F$202=dropdowns!$E$46),OFFSET(VRAGENLIJST!$F$206,Liquiditeit!I3*2-4,0),IF(OR(VRAGENLIJST!$F$202=dropdowns!$B$47,VRAGENLIJST!$F$202=dropdowns!$C$47,VRAGENLIJST!$F$202=dropdowns!$D$47,VRAGENLIJST!$F$202=dropdowns!$E$47),OFFSET(VRAGENLIJST!$F$206,Liquiditeit!I3*2-6,0),IF(OR(VRAGENLIJST!$F$202=dropdowns!$B$48,VRAGENLIJST!$F$202=dropdowns!$C$48,VRAGENLIJST!$F$202=dropdowns!$D$48,VRAGENLIJST!$F$202=dropdowns!$E$48),OFFSET(VRAGENLIJST!$F$206,Liquiditeit!I3*2-8,0),0))))))</f>
        <v>0</v>
      </c>
      <c r="J12" s="329">
        <f ca="1">IF(VRAGENLIJST!$F$202="",0,IF(OR(VRAGENLIJST!$F$202=dropdowns!$B$44,VRAGENLIJST!$F$202=dropdowns!$C$44,VRAGENLIJST!$F$202=dropdowns!$D$44,VRAGENLIJST!$F$202=dropdowns!$E$44),OFFSET(VRAGENLIJST!$F$206,(COLUMN(J12)-COLUMN($D$12))*2,0),IF(OR(VRAGENLIJST!$F$202=dropdowns!$B$45,VRAGENLIJST!$F$202=dropdowns!$C$45,VRAGENLIJST!$F$202=dropdowns!$D$45,VRAGENLIJST!$F$202=dropdowns!$E$45),OFFSET(VRAGENLIJST!$F$206,Liquiditeit!J3*2-4,0)*0.5+(OFFSET(VRAGENLIJST!$F$206,(COLUMN(J12)-COLUMN($D$12))*2,0))*0.5,IF(OR(VRAGENLIJST!$F$202=dropdowns!$B$46,VRAGENLIJST!$F$202=dropdowns!$C$46,VRAGENLIJST!$F$202=dropdowns!$D$46,VRAGENLIJST!$F$202=dropdowns!$E$46),OFFSET(VRAGENLIJST!$F$206,Liquiditeit!J3*2-4,0),IF(OR(VRAGENLIJST!$F$202=dropdowns!$B$47,VRAGENLIJST!$F$202=dropdowns!$C$47,VRAGENLIJST!$F$202=dropdowns!$D$47,VRAGENLIJST!$F$202=dropdowns!$E$47),OFFSET(VRAGENLIJST!$F$206,Liquiditeit!J3*2-6,0),IF(OR(VRAGENLIJST!$F$202=dropdowns!$B$48,VRAGENLIJST!$F$202=dropdowns!$C$48,VRAGENLIJST!$F$202=dropdowns!$D$48,VRAGENLIJST!$F$202=dropdowns!$E$48),OFFSET(VRAGENLIJST!$F$206,Liquiditeit!J3*2-8,0),0))))))</f>
        <v>0</v>
      </c>
      <c r="K12" s="329">
        <f ca="1">IF(VRAGENLIJST!$F$202="",0,IF(OR(VRAGENLIJST!$F$202=dropdowns!$B$44,VRAGENLIJST!$F$202=dropdowns!$C$44,VRAGENLIJST!$F$202=dropdowns!$D$44,VRAGENLIJST!$F$202=dropdowns!$E$44),OFFSET(VRAGENLIJST!$F$206,(COLUMN(K12)-COLUMN($D$12))*2,0),IF(OR(VRAGENLIJST!$F$202=dropdowns!$B$45,VRAGENLIJST!$F$202=dropdowns!$C$45,VRAGENLIJST!$F$202=dropdowns!$D$45,VRAGENLIJST!$F$202=dropdowns!$E$45),OFFSET(VRAGENLIJST!$F$206,Liquiditeit!K3*2-4,0)*0.5+(OFFSET(VRAGENLIJST!$F$206,(COLUMN(K12)-COLUMN($D$12))*2,0))*0.5,IF(OR(VRAGENLIJST!$F$202=dropdowns!$B$46,VRAGENLIJST!$F$202=dropdowns!$C$46,VRAGENLIJST!$F$202=dropdowns!$D$46,VRAGENLIJST!$F$202=dropdowns!$E$46),OFFSET(VRAGENLIJST!$F$206,Liquiditeit!K3*2-4,0),IF(OR(VRAGENLIJST!$F$202=dropdowns!$B$47,VRAGENLIJST!$F$202=dropdowns!$C$47,VRAGENLIJST!$F$202=dropdowns!$D$47,VRAGENLIJST!$F$202=dropdowns!$E$47),OFFSET(VRAGENLIJST!$F$206,Liquiditeit!K3*2-6,0),IF(OR(VRAGENLIJST!$F$202=dropdowns!$B$48,VRAGENLIJST!$F$202=dropdowns!$C$48,VRAGENLIJST!$F$202=dropdowns!$D$48,VRAGENLIJST!$F$202=dropdowns!$E$48),OFFSET(VRAGENLIJST!$F$206,Liquiditeit!K3*2-8,0),0))))))</f>
        <v>0</v>
      </c>
      <c r="L12" s="329">
        <f ca="1">IF(VRAGENLIJST!$F$202="",0,IF(OR(VRAGENLIJST!$F$202=dropdowns!$B$44,VRAGENLIJST!$F$202=dropdowns!$C$44,VRAGENLIJST!$F$202=dropdowns!$D$44,VRAGENLIJST!$F$202=dropdowns!$E$44),OFFSET(VRAGENLIJST!$F$206,(COLUMN(L12)-COLUMN($D$12))*2,0),IF(OR(VRAGENLIJST!$F$202=dropdowns!$B$45,VRAGENLIJST!$F$202=dropdowns!$C$45,VRAGENLIJST!$F$202=dropdowns!$D$45,VRAGENLIJST!$F$202=dropdowns!$E$45),OFFSET(VRAGENLIJST!$F$206,Liquiditeit!L3*2-4,0)*0.5+(OFFSET(VRAGENLIJST!$F$206,(COLUMN(L12)-COLUMN($D$12))*2,0))*0.5,IF(OR(VRAGENLIJST!$F$202=dropdowns!$B$46,VRAGENLIJST!$F$202=dropdowns!$C$46,VRAGENLIJST!$F$202=dropdowns!$D$46,VRAGENLIJST!$F$202=dropdowns!$E$46),OFFSET(VRAGENLIJST!$F$206,Liquiditeit!L3*2-4,0),IF(OR(VRAGENLIJST!$F$202=dropdowns!$B$47,VRAGENLIJST!$F$202=dropdowns!$C$47,VRAGENLIJST!$F$202=dropdowns!$D$47,VRAGENLIJST!$F$202=dropdowns!$E$47),OFFSET(VRAGENLIJST!$F$206,Liquiditeit!L3*2-6,0),IF(OR(VRAGENLIJST!$F$202=dropdowns!$B$48,VRAGENLIJST!$F$202=dropdowns!$C$48,VRAGENLIJST!$F$202=dropdowns!$D$48,VRAGENLIJST!$F$202=dropdowns!$E$48),OFFSET(VRAGENLIJST!$F$206,Liquiditeit!L3*2-8,0),0))))))</f>
        <v>0</v>
      </c>
      <c r="M12" s="329">
        <f ca="1">IF(VRAGENLIJST!$F$202="",0,IF(OR(VRAGENLIJST!$F$202=dropdowns!$B$44,VRAGENLIJST!$F$202=dropdowns!$C$44,VRAGENLIJST!$F$202=dropdowns!$D$44,VRAGENLIJST!$F$202=dropdowns!$E$44),OFFSET(VRAGENLIJST!$F$206,(COLUMN(M12)-COLUMN($D$12))*2,0),IF(OR(VRAGENLIJST!$F$202=dropdowns!$B$45,VRAGENLIJST!$F$202=dropdowns!$C$45,VRAGENLIJST!$F$202=dropdowns!$D$45,VRAGENLIJST!$F$202=dropdowns!$E$45),OFFSET(VRAGENLIJST!$F$206,Liquiditeit!M3*2-4,0)*0.5+(OFFSET(VRAGENLIJST!$F$206,(COLUMN(M12)-COLUMN($D$12))*2,0))*0.5,IF(OR(VRAGENLIJST!$F$202=dropdowns!$B$46,VRAGENLIJST!$F$202=dropdowns!$C$46,VRAGENLIJST!$F$202=dropdowns!$D$46,VRAGENLIJST!$F$202=dropdowns!$E$46),OFFSET(VRAGENLIJST!$F$206,Liquiditeit!M3*2-4,0),IF(OR(VRAGENLIJST!$F$202=dropdowns!$B$47,VRAGENLIJST!$F$202=dropdowns!$C$47,VRAGENLIJST!$F$202=dropdowns!$D$47,VRAGENLIJST!$F$202=dropdowns!$E$47),OFFSET(VRAGENLIJST!$F$206,Liquiditeit!M3*2-6,0),IF(OR(VRAGENLIJST!$F$202=dropdowns!$B$48,VRAGENLIJST!$F$202=dropdowns!$C$48,VRAGENLIJST!$F$202=dropdowns!$D$48,VRAGENLIJST!$F$202=dropdowns!$E$48),OFFSET(VRAGENLIJST!$F$206,Liquiditeit!M3*2-8,0),0))))))</f>
        <v>0</v>
      </c>
      <c r="N12" s="329">
        <f ca="1">IF(VRAGENLIJST!$F$202="",0,IF(OR(VRAGENLIJST!$F$202=dropdowns!$B$44,VRAGENLIJST!$F$202=dropdowns!$C$44,VRAGENLIJST!$F$202=dropdowns!$D$44,VRAGENLIJST!$F$202=dropdowns!$E$44),OFFSET(VRAGENLIJST!$F$206,(COLUMN(N12)-COLUMN($D$12))*2,0),IF(OR(VRAGENLIJST!$F$202=dropdowns!$B$45,VRAGENLIJST!$F$202=dropdowns!$C$45,VRAGENLIJST!$F$202=dropdowns!$D$45,VRAGENLIJST!$F$202=dropdowns!$E$45),OFFSET(VRAGENLIJST!$F$206,Liquiditeit!N3*2-4,0)*0.5+(OFFSET(VRAGENLIJST!$F$206,(COLUMN(N12)-COLUMN($D$12))*2,0))*0.5,IF(OR(VRAGENLIJST!$F$202=dropdowns!$B$46,VRAGENLIJST!$F$202=dropdowns!$C$46,VRAGENLIJST!$F$202=dropdowns!$D$46,VRAGENLIJST!$F$202=dropdowns!$E$46),OFFSET(VRAGENLIJST!$F$206,Liquiditeit!N3*2-4,0),IF(OR(VRAGENLIJST!$F$202=dropdowns!$B$47,VRAGENLIJST!$F$202=dropdowns!$C$47,VRAGENLIJST!$F$202=dropdowns!$D$47,VRAGENLIJST!$F$202=dropdowns!$E$47),OFFSET(VRAGENLIJST!$F$206,Liquiditeit!N3*2-6,0),IF(OR(VRAGENLIJST!$F$202=dropdowns!$B$48,VRAGENLIJST!$F$202=dropdowns!$C$48,VRAGENLIJST!$F$202=dropdowns!$D$48,VRAGENLIJST!$F$202=dropdowns!$E$48),OFFSET(VRAGENLIJST!$F$206,Liquiditeit!N3*2-8,0),0))))))</f>
        <v>0</v>
      </c>
      <c r="O12" s="329">
        <f ca="1">IF(VRAGENLIJST!$F$202="",0,IF(OR(VRAGENLIJST!$F$202=dropdowns!$B$44,VRAGENLIJST!$F$202=dropdowns!$C$44,VRAGENLIJST!$F$202=dropdowns!$D$44,VRAGENLIJST!$F$202=dropdowns!$E$44),OFFSET(VRAGENLIJST!$F$206,(COLUMN(O12)-COLUMN($D$12))*2,0),IF(OR(VRAGENLIJST!$F$202=dropdowns!$B$45,VRAGENLIJST!$F$202=dropdowns!$C$45,VRAGENLIJST!$F$202=dropdowns!$D$45,VRAGENLIJST!$F$202=dropdowns!$E$45),OFFSET(VRAGENLIJST!$F$206,Liquiditeit!O3*2-4,0)*0.5+(OFFSET(VRAGENLIJST!$F$206,(COLUMN(O12)-COLUMN($D$12))*2,0))*0.5,IF(OR(VRAGENLIJST!$F$202=dropdowns!$B$46,VRAGENLIJST!$F$202=dropdowns!$C$46,VRAGENLIJST!$F$202=dropdowns!$D$46,VRAGENLIJST!$F$202=dropdowns!$E$46),OFFSET(VRAGENLIJST!$F$206,Liquiditeit!O3*2-4,0),IF(OR(VRAGENLIJST!$F$202=dropdowns!$B$47,VRAGENLIJST!$F$202=dropdowns!$C$47,VRAGENLIJST!$F$202=dropdowns!$D$47,VRAGENLIJST!$F$202=dropdowns!$E$47),OFFSET(VRAGENLIJST!$F$206,Liquiditeit!O3*2-6,0),IF(OR(VRAGENLIJST!$F$202=dropdowns!$B$48,VRAGENLIJST!$F$202=dropdowns!$C$48,VRAGENLIJST!$F$202=dropdowns!$D$48,VRAGENLIJST!$F$202=dropdowns!$E$48),OFFSET(VRAGENLIJST!$F$206,Liquiditeit!O3*2-8,0),0))))))</f>
        <v>0</v>
      </c>
      <c r="P12" s="331">
        <f ca="1">SUM(D12:O12)</f>
        <v>0</v>
      </c>
    </row>
    <row r="13" spans="1:18" ht="14.25" customHeight="1" x14ac:dyDescent="0.25">
      <c r="B13" s="328" t="str">
        <f>Vertaling!A213</f>
        <v xml:space="preserve"> Btw</v>
      </c>
      <c r="C13" s="330"/>
      <c r="D13" s="329">
        <f>D12*VRAGENLIJST!$F$200+D11*VRAGENLIJST!$D$200</f>
        <v>0</v>
      </c>
      <c r="E13" s="329">
        <f ca="1">E12*VRAGENLIJST!$F$200+E11*VRAGENLIJST!$D$200</f>
        <v>0</v>
      </c>
      <c r="F13" s="329">
        <f ca="1">F12*VRAGENLIJST!$F$200+F11*VRAGENLIJST!$D$200</f>
        <v>0</v>
      </c>
      <c r="G13" s="329">
        <f ca="1">G12*VRAGENLIJST!$F$200+G11*VRAGENLIJST!$D$200</f>
        <v>0</v>
      </c>
      <c r="H13" s="329">
        <f ca="1">H12*VRAGENLIJST!$F$200+H11*VRAGENLIJST!$D$200</f>
        <v>0</v>
      </c>
      <c r="I13" s="329">
        <f ca="1">I12*VRAGENLIJST!$F$200+I11*VRAGENLIJST!$D$200</f>
        <v>0</v>
      </c>
      <c r="J13" s="329">
        <f ca="1">J12*VRAGENLIJST!$F$200+J11*VRAGENLIJST!$D$200</f>
        <v>0</v>
      </c>
      <c r="K13" s="329">
        <f ca="1">K12*VRAGENLIJST!$F$200+K11*VRAGENLIJST!$D$200</f>
        <v>0</v>
      </c>
      <c r="L13" s="329">
        <f ca="1">L12*VRAGENLIJST!$F$200+L11*VRAGENLIJST!$D$200</f>
        <v>0</v>
      </c>
      <c r="M13" s="329">
        <f ca="1">M12*VRAGENLIJST!$F$200+M11*VRAGENLIJST!$D$200</f>
        <v>0</v>
      </c>
      <c r="N13" s="329">
        <f ca="1">N12*VRAGENLIJST!$F$200+N11*VRAGENLIJST!$D$200</f>
        <v>0</v>
      </c>
      <c r="O13" s="329">
        <f ca="1">O12*VRAGENLIJST!$F$200+O11*VRAGENLIJST!$D$200</f>
        <v>0</v>
      </c>
      <c r="P13" s="331">
        <f ca="1">SUM(D13:O13)</f>
        <v>0</v>
      </c>
    </row>
    <row r="14" spans="1:18" ht="14.25" hidden="1" customHeight="1" x14ac:dyDescent="0.25">
      <c r="B14" s="328" t="str">
        <f>Vertaling!A214</f>
        <v xml:space="preserve"> Omzet incl. btw</v>
      </c>
      <c r="C14" s="330"/>
      <c r="D14" s="329">
        <f t="shared" ref="D14:O14" si="2">SUM(D12:D13)</f>
        <v>0</v>
      </c>
      <c r="E14" s="329">
        <f t="shared" ca="1" si="2"/>
        <v>0</v>
      </c>
      <c r="F14" s="329">
        <f t="shared" ca="1" si="2"/>
        <v>0</v>
      </c>
      <c r="G14" s="329">
        <f t="shared" ca="1" si="2"/>
        <v>0</v>
      </c>
      <c r="H14" s="329">
        <f t="shared" ca="1" si="2"/>
        <v>0</v>
      </c>
      <c r="I14" s="329">
        <f t="shared" ca="1" si="2"/>
        <v>0</v>
      </c>
      <c r="J14" s="329">
        <f t="shared" ca="1" si="2"/>
        <v>0</v>
      </c>
      <c r="K14" s="329">
        <f t="shared" ca="1" si="2"/>
        <v>0</v>
      </c>
      <c r="L14" s="329">
        <f t="shared" ca="1" si="2"/>
        <v>0</v>
      </c>
      <c r="M14" s="329">
        <f t="shared" ca="1" si="2"/>
        <v>0</v>
      </c>
      <c r="N14" s="329">
        <f t="shared" ca="1" si="2"/>
        <v>0</v>
      </c>
      <c r="O14" s="329">
        <f t="shared" ca="1" si="2"/>
        <v>0</v>
      </c>
      <c r="P14" s="332">
        <f ca="1">SUM(D14:O14)</f>
        <v>0</v>
      </c>
    </row>
    <row r="15" spans="1:18" ht="15" x14ac:dyDescent="0.25">
      <c r="B15" s="333" t="str">
        <f>Vertaling!A215</f>
        <v>Totale ontvangsten</v>
      </c>
      <c r="C15" s="334">
        <f>SUM(C8:C14)</f>
        <v>0</v>
      </c>
      <c r="D15" s="334">
        <f t="shared" ref="D15:O15" si="3">SUM(D8:D13)</f>
        <v>0</v>
      </c>
      <c r="E15" s="334">
        <f t="shared" ca="1" si="3"/>
        <v>0</v>
      </c>
      <c r="F15" s="334">
        <f t="shared" ca="1" si="3"/>
        <v>0</v>
      </c>
      <c r="G15" s="334">
        <f t="shared" ca="1" si="3"/>
        <v>0</v>
      </c>
      <c r="H15" s="334">
        <f t="shared" ca="1" si="3"/>
        <v>0</v>
      </c>
      <c r="I15" s="334">
        <f t="shared" ca="1" si="3"/>
        <v>0</v>
      </c>
      <c r="J15" s="334">
        <f t="shared" ca="1" si="3"/>
        <v>0</v>
      </c>
      <c r="K15" s="334">
        <f t="shared" ca="1" si="3"/>
        <v>0</v>
      </c>
      <c r="L15" s="334">
        <f t="shared" ca="1" si="3"/>
        <v>0</v>
      </c>
      <c r="M15" s="334">
        <f t="shared" ca="1" si="3"/>
        <v>0</v>
      </c>
      <c r="N15" s="334">
        <f t="shared" ca="1" si="3"/>
        <v>0</v>
      </c>
      <c r="O15" s="334">
        <f t="shared" ca="1" si="3"/>
        <v>0</v>
      </c>
      <c r="P15" s="331">
        <f ca="1">SUM(C15:O15)</f>
        <v>0</v>
      </c>
    </row>
    <row r="16" spans="1:18" ht="14.25" customHeight="1" x14ac:dyDescent="0.25">
      <c r="B16" s="324"/>
      <c r="C16" s="324"/>
      <c r="D16" s="324"/>
      <c r="E16" s="324"/>
      <c r="F16" s="324"/>
      <c r="G16" s="324"/>
      <c r="H16" s="324"/>
      <c r="I16" s="324"/>
      <c r="J16" s="324"/>
      <c r="K16" s="324"/>
      <c r="L16" s="324"/>
      <c r="M16" s="324"/>
      <c r="N16" s="324"/>
      <c r="O16" s="324"/>
      <c r="P16" s="324"/>
    </row>
    <row r="17" spans="2:21" ht="14.25" customHeight="1" x14ac:dyDescent="0.25">
      <c r="B17" s="325" t="str">
        <f>Vertaling!A216</f>
        <v>Uitgaven</v>
      </c>
      <c r="C17" s="326"/>
      <c r="D17" s="326"/>
      <c r="E17" s="326"/>
      <c r="F17" s="326"/>
      <c r="G17" s="326"/>
      <c r="H17" s="326"/>
      <c r="I17" s="326"/>
      <c r="J17" s="326"/>
      <c r="K17" s="326"/>
      <c r="L17" s="326"/>
      <c r="M17" s="326"/>
      <c r="N17" s="326"/>
      <c r="O17" s="326"/>
      <c r="P17" s="335"/>
      <c r="R17" s="336"/>
    </row>
    <row r="18" spans="2:21" ht="14.25" customHeight="1" x14ac:dyDescent="0.25">
      <c r="B18" s="328" t="str">
        <f>Vertaling!A217</f>
        <v xml:space="preserve"> Investering</v>
      </c>
      <c r="C18" s="329">
        <f>SUM('Investering &amp; Financiering'!D4:D9)</f>
        <v>0</v>
      </c>
      <c r="D18" s="330"/>
      <c r="E18" s="330"/>
      <c r="F18" s="330"/>
      <c r="G18" s="330"/>
      <c r="H18" s="330"/>
      <c r="I18" s="330"/>
      <c r="J18" s="330"/>
      <c r="K18" s="330"/>
      <c r="L18" s="330"/>
      <c r="M18" s="330"/>
      <c r="N18" s="330"/>
      <c r="O18" s="330"/>
      <c r="P18" s="331">
        <f>SUM(C18:O18)</f>
        <v>0</v>
      </c>
      <c r="R18" s="336"/>
    </row>
    <row r="19" spans="2:21" ht="14.25" customHeight="1" x14ac:dyDescent="0.25">
      <c r="B19" s="328" t="str">
        <f>Vertaling!A218</f>
        <v xml:space="preserve"> Inkoop product 1</v>
      </c>
      <c r="C19" s="329">
        <f>IF(OR(VRAGENLIJST!D99=dropdowns!$B$28,VRAGENLIJST!D99=dropdowns!$C$28,VRAGENLIJST!D99=dropdowns!$D$28,VRAGENLIJST!D99=dropdowns!$E$28),0,VRAGENLIJST!F99)</f>
        <v>0</v>
      </c>
      <c r="D19" s="329">
        <f>IF(VRAGENLIJST!$D$168="",0,IF(OR(VRAGENLIJST!$D$168=dropdowns!$B$44,VRAGENLIJST!$D$168=dropdowns!$C$44,VRAGENLIJST!$D$168=dropdowns!$D$44,VRAGENLIJST!$D$168=dropdowns!$E$44),VRAGENLIJST!$D$206*VRAGENLIJST!$D$164,IF(OR(VRAGENLIJST!$D$168=dropdowns!$B$45,VRAGENLIJST!$D$168=dropdowns!$C$45,VRAGENLIJST!$D$168=dropdowns!$D$45,VRAGENLIJST!$D$168=dropdowns!$E$45),VRAGENLIJST!$D$206*0.5*VRAGENLIJST!$D$164,0)))</f>
        <v>0</v>
      </c>
      <c r="E19" s="329">
        <f ca="1">IF(VRAGENLIJST!$D$168="",0,IF(OR(VRAGENLIJST!$D$168=dropdowns!$B$44,VRAGENLIJST!$D$168=dropdowns!$C$44,VRAGENLIJST!$D$168=dropdowns!$D$44,VRAGENLIJST!$D$168=dropdowns!$E$44),OFFSET(VRAGENLIJST!$D$206,(COLUMN(E19)-COLUMN($D$19))*2,0)*VRAGENLIJST!$D$164,IF(OR(VRAGENLIJST!$D$168=dropdowns!$B$45,VRAGENLIJST!$D$168=dropdowns!$C$45,VRAGENLIJST!$D$168=dropdowns!$D$45,VRAGENLIJST!$D$168=dropdowns!$E$45),VRAGENLIJST!$D$206*0.5*VRAGENLIJST!$D$164+(OFFSET(VRAGENLIJST!$D$206,(COLUMN(E19)-COLUMN($D$19))*2,0))*0.5*VRAGENLIJST!$D$164,IF(OR(VRAGENLIJST!$D$168=dropdowns!$B$46,VRAGENLIJST!$D$168=dropdowns!$C$46,VRAGENLIJST!$D$168=dropdowns!$D$46,VRAGENLIJST!$D$168=dropdowns!$E$46),VRAGENLIJST!$D$206*VRAGENLIJST!$D$164,0))))</f>
        <v>0</v>
      </c>
      <c r="F19" s="329">
        <f ca="1">IF(VRAGENLIJST!$D$168="",0,IF(OR(VRAGENLIJST!$D$168=dropdowns!$B$44,VRAGENLIJST!$D$168=dropdowns!$C$44,VRAGENLIJST!$D$168=dropdowns!$D$44,VRAGENLIJST!$D$168=dropdowns!$E$44),OFFSET(VRAGENLIJST!$D$206,(COLUMN(F19)-COLUMN($D$19))*2,0)*VRAGENLIJST!$D$164,IF(OR(VRAGENLIJST!$D$168=dropdowns!$B$45,VRAGENLIJST!$D$168=dropdowns!$C$45,VRAGENLIJST!$D$168=dropdowns!$D$45,VRAGENLIJST!$D$168=dropdowns!$E$45),OFFSET(VRAGENLIJST!$D$206,Liquiditeit!F3*2-4,0)*0.5*VRAGENLIJST!$D$164+(OFFSET(VRAGENLIJST!$D$206,(COLUMN(F19)-COLUMN($D$19))*2,0))*0.5*VRAGENLIJST!$D$164,IF(OR(VRAGENLIJST!$D$168=dropdowns!$B$46,VRAGENLIJST!$D$168=dropdowns!$C$46,VRAGENLIJST!$D$168=dropdowns!$D$46,VRAGENLIJST!$D$168=dropdowns!$E$46),OFFSET(VRAGENLIJST!$D$206,Liquiditeit!F3*2-4,0)*VRAGENLIJST!$D$164,IF(OR(VRAGENLIJST!$D$168=dropdowns!$B$47,VRAGENLIJST!$D$168=dropdowns!$C$47,VRAGENLIJST!$D$168=dropdowns!$D$47,VRAGENLIJST!$D$168=dropdowns!$E$47),OFFSET(VRAGENLIJST!$D$206,Liquiditeit!F3*2-6,0)*VRAGENLIJST!$D$164,IF(OR(VRAGENLIJST!$D$168=dropdowns!$B$48,VRAGENLIJST!$D$168=dropdowns!$C$48,VRAGENLIJST!$D$168=dropdowns!$D$48,VRAGENLIJST!$D$168=dropdowns!$E$48),VRAGENLIJST!$D$206*VRAGENLIJST!$D$164,0))))))</f>
        <v>0</v>
      </c>
      <c r="G19" s="329">
        <f ca="1">IF(VRAGENLIJST!$D$168="",0,IF(OR(VRAGENLIJST!$D$168=dropdowns!$B$44,VRAGENLIJST!$D$168=dropdowns!$C$44,VRAGENLIJST!$D$168=dropdowns!$D$44,VRAGENLIJST!$D$168=dropdowns!$E$44),OFFSET(VRAGENLIJST!$D$206,(COLUMN(G19)-COLUMN($D$19))*2,0)*VRAGENLIJST!$D$164,IF(OR(VRAGENLIJST!$D$168=dropdowns!$B$45,VRAGENLIJST!$D$168=dropdowns!$C$45,VRAGENLIJST!$D$168=dropdowns!$D$45,VRAGENLIJST!$D$168=dropdowns!$E$45),OFFSET(VRAGENLIJST!$D$206,Liquiditeit!G3*2-4,0)*0.5*VRAGENLIJST!$D$164+(OFFSET(VRAGENLIJST!$D$206,(COLUMN(G19)-COLUMN($D$19))*2,0))*0.5*VRAGENLIJST!$D$164,IF(OR(VRAGENLIJST!$D$168=dropdowns!$B$46,VRAGENLIJST!$D$168=dropdowns!$C$46,VRAGENLIJST!$D$168=dropdowns!$D$46,VRAGENLIJST!$D$168=dropdowns!$E$46),OFFSET(VRAGENLIJST!$D$206,Liquiditeit!G3*2-4,0)*VRAGENLIJST!$D$164,IF(OR(VRAGENLIJST!$D$168=dropdowns!$B$47,VRAGENLIJST!$D$168=dropdowns!$C$47,VRAGENLIJST!$D$168=dropdowns!$D$47,VRAGENLIJST!$D$168=dropdowns!$E$47),OFFSET(VRAGENLIJST!$D$206,Liquiditeit!G3*2-6,0)*VRAGENLIJST!$D$164,IF(OR(VRAGENLIJST!$D$168=dropdowns!$B$48,VRAGENLIJST!$D$168=dropdowns!$C$48,VRAGENLIJST!$D$168=dropdowns!$D$48,VRAGENLIJST!$D$168=dropdowns!$E$48),VRAGENLIJST!$D$206*VRAGENLIJST!$D$164,0))))))</f>
        <v>0</v>
      </c>
      <c r="H19" s="329">
        <f ca="1">IF(VRAGENLIJST!$D$168="",0,IF(OR(VRAGENLIJST!$D$168=dropdowns!$B$44,VRAGENLIJST!$D$168=dropdowns!$C$44,VRAGENLIJST!$D$168=dropdowns!$D$44,VRAGENLIJST!$D$168=dropdowns!$E$44),OFFSET(VRAGENLIJST!$D$206,(COLUMN(H19)-COLUMN($D$19))*2,0)*VRAGENLIJST!$D$164,IF(OR(VRAGENLIJST!$D$168=dropdowns!$B$45,VRAGENLIJST!$D$168=dropdowns!$C$45,VRAGENLIJST!$D$168=dropdowns!$D$45,VRAGENLIJST!$D$168=dropdowns!$E$45),OFFSET(VRAGENLIJST!$D$206,Liquiditeit!H3*2-4,0)*0.5*VRAGENLIJST!$D$164+(OFFSET(VRAGENLIJST!$D$206,(COLUMN(H19)-COLUMN($D$19))*2,0))*0.5*VRAGENLIJST!$D$164,IF(OR(VRAGENLIJST!$D$168=dropdowns!$B$46,VRAGENLIJST!$D$168=dropdowns!$C$46,VRAGENLIJST!$D$168=dropdowns!$D$46,VRAGENLIJST!$D$168=dropdowns!$E$46),OFFSET(VRAGENLIJST!$D$206,Liquiditeit!H3*2-4,0)*VRAGENLIJST!$D$164,IF(OR(VRAGENLIJST!$D$168=dropdowns!$B$47,VRAGENLIJST!$D$168=dropdowns!$C$47,VRAGENLIJST!$D$168=dropdowns!$D$47,VRAGENLIJST!$D$168=dropdowns!$E$47),OFFSET(VRAGENLIJST!$D$206,Liquiditeit!H3*2-6,0)*VRAGENLIJST!$D$164,IF(OR(VRAGENLIJST!$D$168=dropdowns!$B$48,VRAGENLIJST!$D$168=dropdowns!$C$48,VRAGENLIJST!$D$168=dropdowns!$D$48,VRAGENLIJST!$D$168=dropdowns!$E$48),OFFSET(VRAGENLIJST!$D$206,Liquiditeit!H3*2-8,0)*VRAGENLIJST!$D$164,0))))))</f>
        <v>0</v>
      </c>
      <c r="I19" s="329">
        <f ca="1">IF(VRAGENLIJST!$D$168="",0,IF(OR(VRAGENLIJST!$D$168=dropdowns!$B$44,VRAGENLIJST!$D$168=dropdowns!$C$44,VRAGENLIJST!$D$168=dropdowns!$D$44,VRAGENLIJST!$D$168=dropdowns!$E$44),OFFSET(VRAGENLIJST!$D$206,(COLUMN(I19)-COLUMN($D$19))*2,0)*VRAGENLIJST!$D$164,IF(OR(VRAGENLIJST!$D$168=dropdowns!$B$45,VRAGENLIJST!$D$168=dropdowns!$C$45,VRAGENLIJST!$D$168=dropdowns!$D$45,VRAGENLIJST!$D$168=dropdowns!$E$45),OFFSET(VRAGENLIJST!$D$206,Liquiditeit!I3*2-4,0)*0.5*VRAGENLIJST!$D$164+(OFFSET(VRAGENLIJST!$D$206,(COLUMN(I19)-COLUMN($D$19))*2,0))*0.5*VRAGENLIJST!$D$164,IF(OR(VRAGENLIJST!$D$168=dropdowns!$B$46,VRAGENLIJST!$D$168=dropdowns!$C$46,VRAGENLIJST!$D$168=dropdowns!$D$46,VRAGENLIJST!$D$168=dropdowns!$E$46),OFFSET(VRAGENLIJST!$D$206,Liquiditeit!I3*2-4,0)*VRAGENLIJST!$D$164,IF(OR(VRAGENLIJST!$D$168=dropdowns!$B$47,VRAGENLIJST!$D$168=dropdowns!$C$47,VRAGENLIJST!$D$168=dropdowns!$D$47,VRAGENLIJST!$D$168=dropdowns!$E$47),OFFSET(VRAGENLIJST!$D$206,Liquiditeit!I3*2-6,0)*VRAGENLIJST!$D$164,IF(OR(VRAGENLIJST!$D$168=dropdowns!$B$48,VRAGENLIJST!$D$168=dropdowns!$C$48,VRAGENLIJST!$D$168=dropdowns!$D$48,VRAGENLIJST!$D$168=dropdowns!$E$48),OFFSET(VRAGENLIJST!$D$206,Liquiditeit!I3*2-8,0)*VRAGENLIJST!$D$164,0))))))</f>
        <v>0</v>
      </c>
      <c r="J19" s="329">
        <f ca="1">IF(VRAGENLIJST!$D$168="",0,IF(OR(VRAGENLIJST!$D$168=dropdowns!$B$44,VRAGENLIJST!$D$168=dropdowns!$C$44,VRAGENLIJST!$D$168=dropdowns!$D$44,VRAGENLIJST!$D$168=dropdowns!$E$44),OFFSET(VRAGENLIJST!$D$206,(COLUMN(J19)-COLUMN($D$19))*2,0)*VRAGENLIJST!$D$164,IF(OR(VRAGENLIJST!$D$168=dropdowns!$B$45,VRAGENLIJST!$D$168=dropdowns!$C$45,VRAGENLIJST!$D$168=dropdowns!$D$45,VRAGENLIJST!$D$168=dropdowns!$E$45),OFFSET(VRAGENLIJST!$D$206,Liquiditeit!J3*2-4,0)*0.5*VRAGENLIJST!$D$164+(OFFSET(VRAGENLIJST!$D$206,(COLUMN(J19)-COLUMN($D$19))*2,0))*0.5*VRAGENLIJST!$D$164,IF(OR(VRAGENLIJST!$D$168=dropdowns!$B$46,VRAGENLIJST!$D$168=dropdowns!$C$46,VRAGENLIJST!$D$168=dropdowns!$D$46,VRAGENLIJST!$D$168=dropdowns!$E$46),OFFSET(VRAGENLIJST!$D$206,Liquiditeit!J3*2-4,0)*VRAGENLIJST!$D$164,IF(OR(VRAGENLIJST!$D$168=dropdowns!$B$47,VRAGENLIJST!$D$168=dropdowns!$C$47,VRAGENLIJST!$D$168=dropdowns!$D$47,VRAGENLIJST!$D$168=dropdowns!$E$47),OFFSET(VRAGENLIJST!$D$206,Liquiditeit!J3*2-6,0)*VRAGENLIJST!$D$164,IF(OR(VRAGENLIJST!$D$168=dropdowns!$B$48,VRAGENLIJST!$D$168=dropdowns!$C$48,VRAGENLIJST!$D$168=dropdowns!$D$48,VRAGENLIJST!$D$168=dropdowns!$E$48),OFFSET(VRAGENLIJST!$D$206,Liquiditeit!J3*2-8,0)*VRAGENLIJST!$D$164,0))))))</f>
        <v>0</v>
      </c>
      <c r="K19" s="329">
        <f ca="1">IF(VRAGENLIJST!$D$168="",0,IF(OR(VRAGENLIJST!$D$168=dropdowns!$B$44,VRAGENLIJST!$D$168=dropdowns!$C$44,VRAGENLIJST!$D$168=dropdowns!$D$44,VRAGENLIJST!$D$168=dropdowns!$E$44),OFFSET(VRAGENLIJST!$D$206,(COLUMN(K19)-COLUMN($D$19))*2,0)*VRAGENLIJST!$D$164,IF(OR(VRAGENLIJST!$D$168=dropdowns!$B$45,VRAGENLIJST!$D$168=dropdowns!$C$45,VRAGENLIJST!$D$168=dropdowns!$D$45,VRAGENLIJST!$D$168=dropdowns!$E$45),OFFSET(VRAGENLIJST!$D$206,Liquiditeit!K3*2-4,0)*0.5*VRAGENLIJST!$D$164+(OFFSET(VRAGENLIJST!$D$206,(COLUMN(K19)-COLUMN($D$19))*2,0))*0.5*VRAGENLIJST!$D$164,IF(OR(VRAGENLIJST!$D$168=dropdowns!$B$46,VRAGENLIJST!$D$168=dropdowns!$C$46,VRAGENLIJST!$D$168=dropdowns!$D$46,VRAGENLIJST!$D$168=dropdowns!$E$46),OFFSET(VRAGENLIJST!$D$206,Liquiditeit!K3*2-4,0)*VRAGENLIJST!$D$164,IF(OR(VRAGENLIJST!$D$168=dropdowns!$B$47,VRAGENLIJST!$D$168=dropdowns!$C$47,VRAGENLIJST!$D$168=dropdowns!$D$47,VRAGENLIJST!$D$168=dropdowns!$E$47),OFFSET(VRAGENLIJST!$D$206,Liquiditeit!K3*2-6,0)*VRAGENLIJST!$D$164,IF(OR(VRAGENLIJST!$D$168=dropdowns!$B$48,VRAGENLIJST!$D$168=dropdowns!$C$48,VRAGENLIJST!$D$168=dropdowns!$D$48,VRAGENLIJST!$D$168=dropdowns!$E$48),OFFSET(VRAGENLIJST!$D$206,Liquiditeit!K3*2-8,0)*VRAGENLIJST!$D$164,0))))))</f>
        <v>0</v>
      </c>
      <c r="L19" s="329">
        <f ca="1">IF(VRAGENLIJST!$D$168="",0,IF(OR(VRAGENLIJST!$D$168=dropdowns!$B$44,VRAGENLIJST!$D$168=dropdowns!$C$44,VRAGENLIJST!$D$168=dropdowns!$D$44,VRAGENLIJST!$D$168=dropdowns!$E$44),OFFSET(VRAGENLIJST!$D$206,(COLUMN(L19)-COLUMN($D$19))*2,0)*VRAGENLIJST!$D$164,IF(OR(VRAGENLIJST!$D$168=dropdowns!$B$45,VRAGENLIJST!$D$168=dropdowns!$C$45,VRAGENLIJST!$D$168=dropdowns!$D$45,VRAGENLIJST!$D$168=dropdowns!$E$45),OFFSET(VRAGENLIJST!$D$206,Liquiditeit!L3*2-4,0)*0.5*VRAGENLIJST!$D$164+(OFFSET(VRAGENLIJST!$D$206,(COLUMN(L19)-COLUMN($D$19))*2,0))*0.5*VRAGENLIJST!$D$164,IF(OR(VRAGENLIJST!$D$168=dropdowns!$B$46,VRAGENLIJST!$D$168=dropdowns!$C$46,VRAGENLIJST!$D$168=dropdowns!$D$46,VRAGENLIJST!$D$168=dropdowns!$E$46),OFFSET(VRAGENLIJST!$D$206,Liquiditeit!L3*2-4,0)*VRAGENLIJST!$D$164,IF(OR(VRAGENLIJST!$D$168=dropdowns!$B$47,VRAGENLIJST!$D$168=dropdowns!$C$47,VRAGENLIJST!$D$168=dropdowns!$D$47,VRAGENLIJST!$D$168=dropdowns!$E$47),OFFSET(VRAGENLIJST!$D$206,Liquiditeit!L3*2-6,0)*VRAGENLIJST!$D$164,IF(OR(VRAGENLIJST!$D$168=dropdowns!$B$48,VRAGENLIJST!$D$168=dropdowns!$C$48,VRAGENLIJST!$D$168=dropdowns!$D$48,VRAGENLIJST!$D$168=dropdowns!$E$48),OFFSET(VRAGENLIJST!$D$206,Liquiditeit!L3*2-8,0)*VRAGENLIJST!$D$164,0))))))</f>
        <v>0</v>
      </c>
      <c r="M19" s="329">
        <f ca="1">IF(VRAGENLIJST!$D$168="",0,IF(OR(VRAGENLIJST!$D$168=dropdowns!$B$44,VRAGENLIJST!$D$168=dropdowns!$C$44,VRAGENLIJST!$D$168=dropdowns!$D$44,VRAGENLIJST!$D$168=dropdowns!$E$44),OFFSET(VRAGENLIJST!$D$206,(COLUMN(M19)-COLUMN($D$19))*2,0)*VRAGENLIJST!$D$164,IF(OR(VRAGENLIJST!$D$168=dropdowns!$B$45,VRAGENLIJST!$D$168=dropdowns!$C$45,VRAGENLIJST!$D$168=dropdowns!$D$45,VRAGENLIJST!$D$168=dropdowns!$E$45),OFFSET(VRAGENLIJST!$D$206,Liquiditeit!M3*2-4,0)*0.5*VRAGENLIJST!$D$164+(OFFSET(VRAGENLIJST!$D$206,(COLUMN(M19)-COLUMN($D$19))*2,0))*0.5*VRAGENLIJST!$D$164,IF(OR(VRAGENLIJST!$D$168=dropdowns!$B$46,VRAGENLIJST!$D$168=dropdowns!$C$46,VRAGENLIJST!$D$168=dropdowns!$D$46,VRAGENLIJST!$D$168=dropdowns!$E$46),OFFSET(VRAGENLIJST!$D$206,Liquiditeit!M3*2-4,0)*VRAGENLIJST!$D$164,IF(OR(VRAGENLIJST!$D$168=dropdowns!$B$47,VRAGENLIJST!$D$168=dropdowns!$C$47,VRAGENLIJST!$D$168=dropdowns!$D$47,VRAGENLIJST!$D$168=dropdowns!$E$47),OFFSET(VRAGENLIJST!$D$206,Liquiditeit!M3*2-6,0)*VRAGENLIJST!$D$164,IF(OR(VRAGENLIJST!$D$168=dropdowns!$B$48,VRAGENLIJST!$D$168=dropdowns!$C$48,VRAGENLIJST!$D$168=dropdowns!$D$48,VRAGENLIJST!$D$168=dropdowns!$E$48),OFFSET(VRAGENLIJST!$D$206,Liquiditeit!M3*2-8,0)*VRAGENLIJST!$D$164,0))))))</f>
        <v>0</v>
      </c>
      <c r="N19" s="329">
        <f ca="1">IF(VRAGENLIJST!$D$168="",0,IF(OR(VRAGENLIJST!$D$168=dropdowns!$B$44,VRAGENLIJST!$D$168=dropdowns!$C$44,VRAGENLIJST!$D$168=dropdowns!$D$44,VRAGENLIJST!$D$168=dropdowns!$E$44),OFFSET(VRAGENLIJST!$D$206,(COLUMN(N19)-COLUMN($D$19))*2,0)*VRAGENLIJST!$D$164,IF(OR(VRAGENLIJST!$D$168=dropdowns!$B$45,VRAGENLIJST!$D$168=dropdowns!$C$45,VRAGENLIJST!$D$168=dropdowns!$D$45,VRAGENLIJST!$D$168=dropdowns!$E$45),OFFSET(VRAGENLIJST!$D$206,Liquiditeit!N3*2-4,0)*0.5*VRAGENLIJST!$D$164+(OFFSET(VRAGENLIJST!$D$206,(COLUMN(N19)-COLUMN($D$19))*2,0))*0.5*VRAGENLIJST!$D$164,IF(OR(VRAGENLIJST!$D$168=dropdowns!$B$46,VRAGENLIJST!$D$168=dropdowns!$C$46,VRAGENLIJST!$D$168=dropdowns!$D$46,VRAGENLIJST!$D$168=dropdowns!$E$46),OFFSET(VRAGENLIJST!$D$206,Liquiditeit!N3*2-4,0)*VRAGENLIJST!$D$164,IF(OR(VRAGENLIJST!$D$168=dropdowns!$B$47,VRAGENLIJST!$D$168=dropdowns!$C$47,VRAGENLIJST!$D$168=dropdowns!$D$47,VRAGENLIJST!$D$168=dropdowns!$E$47),OFFSET(VRAGENLIJST!$D$206,Liquiditeit!N3*2-6,0)*VRAGENLIJST!$D$164,IF(OR(VRAGENLIJST!$D$168=dropdowns!$B$48,VRAGENLIJST!$D$168=dropdowns!$C$48,VRAGENLIJST!$D$168=dropdowns!$D$48,VRAGENLIJST!$D$168=dropdowns!$E$48),OFFSET(VRAGENLIJST!$D$206,Liquiditeit!N3*2-8,0)*VRAGENLIJST!$D$164,0))))))</f>
        <v>0</v>
      </c>
      <c r="O19" s="329">
        <f ca="1">IF(VRAGENLIJST!$D$168="",0,IF(OR(VRAGENLIJST!$D$168=dropdowns!$B$44,VRAGENLIJST!$D$168=dropdowns!$C$44,VRAGENLIJST!$D$168=dropdowns!$D$44,VRAGENLIJST!$D$168=dropdowns!$E$44),OFFSET(VRAGENLIJST!$D$206,(COLUMN(O19)-COLUMN($D$19))*2,0)*VRAGENLIJST!$D$164,IF(OR(VRAGENLIJST!$D$168=dropdowns!$B$45,VRAGENLIJST!$D$168=dropdowns!$C$45,VRAGENLIJST!$D$168=dropdowns!$D$45,VRAGENLIJST!$D$168=dropdowns!$E$45),OFFSET(VRAGENLIJST!$D$206,Liquiditeit!O3*2-4,0)*0.5*VRAGENLIJST!$D$164+(OFFSET(VRAGENLIJST!$D$206,(COLUMN(O19)-COLUMN($D$19))*2,0))*0.5*VRAGENLIJST!$D$164,IF(OR(VRAGENLIJST!$D$168=dropdowns!$B$46,VRAGENLIJST!$D$168=dropdowns!$C$46,VRAGENLIJST!$D$168=dropdowns!$D$46,VRAGENLIJST!$D$168=dropdowns!$E$46),OFFSET(VRAGENLIJST!$D$206,Liquiditeit!O3*2-4,0)*VRAGENLIJST!$D$164,IF(OR(VRAGENLIJST!$D$168=dropdowns!$B$47,VRAGENLIJST!$D$168=dropdowns!$C$47,VRAGENLIJST!$D$168=dropdowns!$D$47,VRAGENLIJST!$D$168=dropdowns!$E$47),OFFSET(VRAGENLIJST!$D$206,Liquiditeit!O3*2-6,0)*VRAGENLIJST!$D$164,IF(OR(VRAGENLIJST!$D$168=dropdowns!$B$48,VRAGENLIJST!$D$168=dropdowns!$C$48,VRAGENLIJST!$D$168=dropdowns!$D$48,VRAGENLIJST!$D$168=dropdowns!$E$48),OFFSET(VRAGENLIJST!$D$206,Liquiditeit!O3*2-8,0)*VRAGENLIJST!$D$164,0))))))</f>
        <v>0</v>
      </c>
      <c r="P19" s="331">
        <f ca="1">SUM(C19:O19)</f>
        <v>0</v>
      </c>
      <c r="R19" s="336"/>
    </row>
    <row r="20" spans="2:21" ht="14.25" customHeight="1" x14ac:dyDescent="0.25">
      <c r="B20" s="328" t="str">
        <f>Vertaling!A219</f>
        <v xml:space="preserve"> Inkoop product 2</v>
      </c>
      <c r="C20" s="329">
        <f>IF(OR(VRAGENLIJST!D101=dropdowns!$B$28,VRAGENLIJST!D101=dropdowns!$C$28,VRAGENLIJST!D101=dropdowns!$D$28,VRAGENLIJST!D101=dropdowns!$E$28),0,VRAGENLIJST!F101)</f>
        <v>0</v>
      </c>
      <c r="D20" s="329">
        <f>IF(VRAGENLIJST!$F$168="",0,IF(OR(VRAGENLIJST!$F$168=dropdowns!$B$44,VRAGENLIJST!$F$168=dropdowns!$C$44,VRAGENLIJST!$F$168=dropdowns!$D$44,VRAGENLIJST!$F$168=dropdowns!$E$44),VRAGENLIJST!$F$206*VRAGENLIJST!$F$164,IF(OR(VRAGENLIJST!$F$168=dropdowns!$B$45,VRAGENLIJST!$F$168=dropdowns!$C$45,VRAGENLIJST!$F$168=dropdowns!$D$45,VRAGENLIJST!$F$168=dropdowns!$E$45),VRAGENLIJST!$F$206*0.5*VRAGENLIJST!$F$164,0)))</f>
        <v>0</v>
      </c>
      <c r="E20" s="329">
        <f ca="1">IF(VRAGENLIJST!$F$168="",0,IF(OR(VRAGENLIJST!$F$168=dropdowns!$B$44,VRAGENLIJST!$F$168=dropdowns!$C$44,VRAGENLIJST!$F$168=dropdowns!$D$44,VRAGENLIJST!$F$168=dropdowns!$E$44),OFFSET(VRAGENLIJST!$F$206,(COLUMN(E20)-COLUMN($D$20))*2,0)*VRAGENLIJST!$F$164,IF(OR(VRAGENLIJST!$F$168=dropdowns!$B$45,VRAGENLIJST!$F$168=dropdowns!$C$45,VRAGENLIJST!$F$168=dropdowns!$D$45,VRAGENLIJST!$F$168=dropdowns!$E$45),VRAGENLIJST!$F$206*0.5*VRAGENLIJST!$F$164+(OFFSET(VRAGENLIJST!$F$206,(COLUMN(E20)-COLUMN($D$20))*2,0))*0.5*VRAGENLIJST!$F$164,IF(OR(VRAGENLIJST!$F$168=dropdowns!$B$46,VRAGENLIJST!$F$168=dropdowns!$C$46,VRAGENLIJST!$F$168=dropdowns!$D$46,VRAGENLIJST!$F$168=dropdowns!$E$46),VRAGENLIJST!$F$206*VRAGENLIJST!$F$164,0))))</f>
        <v>0</v>
      </c>
      <c r="F20" s="329">
        <f ca="1">IF(VRAGENLIJST!$F$168="",0,IF(OR(VRAGENLIJST!$F$168=dropdowns!$B$44,VRAGENLIJST!$F$168=dropdowns!$C$44,VRAGENLIJST!$F$168=dropdowns!$D$44,VRAGENLIJST!$F$168=dropdowns!$E$44),OFFSET(VRAGENLIJST!$F$206,(COLUMN(F20)-COLUMN($D$20))*2,0)*VRAGENLIJST!$F$164,IF(OR(VRAGENLIJST!$F$168=dropdowns!$B$45,VRAGENLIJST!$F$168=dropdowns!$C$45,VRAGENLIJST!$F$168=dropdowns!$D$45,VRAGENLIJST!$F$168=dropdowns!$E$45),OFFSET(VRAGENLIJST!$F$206,Liquiditeit!F3*2-4,0)*0.5*VRAGENLIJST!$F$164+(OFFSET(VRAGENLIJST!$F$206,(COLUMN(F20)-COLUMN($D$20))*2,0))*0.5*VRAGENLIJST!$F$164,IF(OR(VRAGENLIJST!$F$168=dropdowns!$B$46,VRAGENLIJST!$F$168=dropdowns!$C$46,VRAGENLIJST!$F$168=dropdowns!$D$46,VRAGENLIJST!$F$168=dropdowns!$E$46),OFFSET(VRAGENLIJST!$F$206,Liquiditeit!F3*2-4,0)*VRAGENLIJST!$F$164,IF(OR(VRAGENLIJST!$F$168=dropdowns!$B$47,VRAGENLIJST!$F$168=dropdowns!$C$47,VRAGENLIJST!$F$168=dropdowns!$D$47,VRAGENLIJST!$F$168=dropdowns!$E$47),VRAGENLIJST!$F$206*VRAGENLIJST!$F$164,0)))))</f>
        <v>0</v>
      </c>
      <c r="G20" s="329">
        <f ca="1">IF(VRAGENLIJST!$F$168="",0,IF(OR(VRAGENLIJST!$F$168=dropdowns!$B$44,VRAGENLIJST!$F$168=dropdowns!$C$44,VRAGENLIJST!$F$168=dropdowns!$D$44,VRAGENLIJST!$F$168=dropdowns!$E$44),OFFSET(VRAGENLIJST!$F$206,(COLUMN(G20)-COLUMN($D$20))*2,0)*VRAGENLIJST!$F$164,IF(OR(VRAGENLIJST!$F$168=dropdowns!$B$45,VRAGENLIJST!$F$168=dropdowns!$C$45,VRAGENLIJST!$F$168=dropdowns!$D$45,VRAGENLIJST!$F$168=dropdowns!$E$45),OFFSET(VRAGENLIJST!$F$206,Liquiditeit!G3*2-4,0)*0.5*VRAGENLIJST!$F$164+(OFFSET(VRAGENLIJST!$F$206,(COLUMN(G20)-COLUMN($D$20))*2,0))*0.5*VRAGENLIJST!$F$164,IF(OR(VRAGENLIJST!$F$168=dropdowns!$B$46,VRAGENLIJST!$F$168=dropdowns!$C$46,VRAGENLIJST!$F$168=dropdowns!$D$46,VRAGENLIJST!$F$168=dropdowns!$E$46),OFFSET(VRAGENLIJST!$F$206,Liquiditeit!G3*2-4,0)*VRAGENLIJST!$F$164,IF(OR(VRAGENLIJST!$F$168=dropdowns!$B$47,VRAGENLIJST!$F$168=dropdowns!$C$47,VRAGENLIJST!$F$168=dropdowns!$D$47,VRAGENLIJST!$F$168=dropdowns!$E$47),OFFSET(VRAGENLIJST!$F$206,Liquiditeit!G3*2-6,0)*VRAGENLIJST!$F$164,IF(OR(VRAGENLIJST!$F$168=dropdowns!$B$48,VRAGENLIJST!$F$168=dropdowns!$C$48,VRAGENLIJST!$F$168=dropdowns!$D$48,VRAGENLIJST!$F$168=dropdowns!$E$48),VRAGENLIJST!$F$206*VRAGENLIJST!$F$164,0))))))</f>
        <v>0</v>
      </c>
      <c r="H20" s="329">
        <f ca="1">IF(VRAGENLIJST!$F$168="",0,IF(OR(VRAGENLIJST!$F$168=dropdowns!$B$44,VRAGENLIJST!$F$168=dropdowns!$C$44,VRAGENLIJST!$F$168=dropdowns!$D$44,VRAGENLIJST!$F$168=dropdowns!$E$44),OFFSET(VRAGENLIJST!$F$206,(COLUMN(H20)-COLUMN($D$20))*2,0)*VRAGENLIJST!$F$164,IF(OR(VRAGENLIJST!$F$168=dropdowns!$B$45,VRAGENLIJST!$F$168=dropdowns!$C$45,VRAGENLIJST!$F$168=dropdowns!$D$45,VRAGENLIJST!$F$168=dropdowns!$E$45),OFFSET(VRAGENLIJST!$F$206,Liquiditeit!H3*2-4,0)*0.5*VRAGENLIJST!$F$164+(OFFSET(VRAGENLIJST!$F$206,(COLUMN(H20)-COLUMN($D$20))*2,0))*0.5*VRAGENLIJST!$F$164,IF(OR(VRAGENLIJST!$F$168=dropdowns!$B$46,VRAGENLIJST!$F$168=dropdowns!$C$46,VRAGENLIJST!$F$168=dropdowns!$D$46,VRAGENLIJST!$F$168=dropdowns!$E$46),OFFSET(VRAGENLIJST!$F$206,Liquiditeit!H3*2-4,0)*VRAGENLIJST!$F$164,IF(OR(VRAGENLIJST!$F$168=dropdowns!$B$47,VRAGENLIJST!$F$168=dropdowns!$C$47,VRAGENLIJST!$F$168=dropdowns!$D$47,VRAGENLIJST!$F$168=dropdowns!$E$47),OFFSET(VRAGENLIJST!$F$206,Liquiditeit!H3*2-6,0)*VRAGENLIJST!$F$164,IF(OR(VRAGENLIJST!$F$168=dropdowns!$B$48,VRAGENLIJST!$F$168=dropdowns!$C$48,VRAGENLIJST!$F$168=dropdowns!$D$48,VRAGENLIJST!$F$168=dropdowns!$E$48),OFFSET(VRAGENLIJST!$F$206,Liquiditeit!H3*2-8,0)*VRAGENLIJST!$F$164,0))))))</f>
        <v>0</v>
      </c>
      <c r="I20" s="329">
        <f ca="1">IF(VRAGENLIJST!$F$168="",0,IF(OR(VRAGENLIJST!$F$168=dropdowns!$B$44,VRAGENLIJST!$F$168=dropdowns!$C$44,VRAGENLIJST!$F$168=dropdowns!$D$44,VRAGENLIJST!$F$168=dropdowns!$E$44),OFFSET(VRAGENLIJST!$F$206,(COLUMN(I20)-COLUMN($D$20))*2,0)*VRAGENLIJST!$F$164,IF(OR(VRAGENLIJST!$F$168=dropdowns!$B$45,VRAGENLIJST!$F$168=dropdowns!$C$45,VRAGENLIJST!$F$168=dropdowns!$D$45,VRAGENLIJST!$F$168=dropdowns!$E$45),OFFSET(VRAGENLIJST!$F$206,Liquiditeit!I3*2-4,0)*0.5*VRAGENLIJST!$F$164+(OFFSET(VRAGENLIJST!$F$206,(COLUMN(I20)-COLUMN($D$20))*2,0))*0.5*VRAGENLIJST!$F$164,IF(OR(VRAGENLIJST!$F$168=dropdowns!$B$46,VRAGENLIJST!$F$168=dropdowns!$C$46,VRAGENLIJST!$F$168=dropdowns!$D$46,VRAGENLIJST!$F$168=dropdowns!$E$46),OFFSET(VRAGENLIJST!$F$206,Liquiditeit!I3*2-4,0)*VRAGENLIJST!$F$164,IF(OR(VRAGENLIJST!$F$168=dropdowns!$B$47,VRAGENLIJST!$F$168=dropdowns!$C$47,VRAGENLIJST!$F$168=dropdowns!$D$47,VRAGENLIJST!$F$168=dropdowns!$E$47),OFFSET(VRAGENLIJST!$F$206,Liquiditeit!I3*2-6,0)*VRAGENLIJST!$F$164,IF(OR(VRAGENLIJST!$F$168=dropdowns!$B$48,VRAGENLIJST!$F$168=dropdowns!$C$48,VRAGENLIJST!$F$168=dropdowns!$D$48,VRAGENLIJST!$F$168=dropdowns!$E$48),OFFSET(VRAGENLIJST!$F$206,Liquiditeit!I3*2-8,0)*VRAGENLIJST!$F$164,0))))))</f>
        <v>0</v>
      </c>
      <c r="J20" s="329">
        <f ca="1">IF(VRAGENLIJST!$F$168="",0,IF(OR(VRAGENLIJST!$F$168=dropdowns!$B$44,VRAGENLIJST!$F$168=dropdowns!$C$44,VRAGENLIJST!$F$168=dropdowns!$D$44,VRAGENLIJST!$F$168=dropdowns!$E$44),OFFSET(VRAGENLIJST!$F$206,(COLUMN(J20)-COLUMN($D$20))*2,0)*VRAGENLIJST!$F$164,IF(OR(VRAGENLIJST!$F$168=dropdowns!$B$45,VRAGENLIJST!$F$168=dropdowns!$C$45,VRAGENLIJST!$F$168=dropdowns!$D$45,VRAGENLIJST!$F$168=dropdowns!$E$45),OFFSET(VRAGENLIJST!$F$206,Liquiditeit!J3*2-4,0)*0.5*VRAGENLIJST!$F$164+(OFFSET(VRAGENLIJST!$F$206,(COLUMN(J20)-COLUMN($D$20))*2,0))*0.5*VRAGENLIJST!$F$164,IF(OR(VRAGENLIJST!$F$168=dropdowns!$B$46,VRAGENLIJST!$F$168=dropdowns!$C$46,VRAGENLIJST!$F$168=dropdowns!$D$46,VRAGENLIJST!$F$168=dropdowns!$E$46),OFFSET(VRAGENLIJST!$F$206,Liquiditeit!J3*2-4,0)*VRAGENLIJST!$F$164,IF(OR(VRAGENLIJST!$F$168=dropdowns!$B$47,VRAGENLIJST!$F$168=dropdowns!$C$47,VRAGENLIJST!$F$168=dropdowns!$D$47,VRAGENLIJST!$F$168=dropdowns!$E$47),OFFSET(VRAGENLIJST!$F$206,Liquiditeit!J3*2-6,0)*VRAGENLIJST!$F$164,IF(OR(VRAGENLIJST!$F$168=dropdowns!$B$48,VRAGENLIJST!$F$168=dropdowns!$C$48,VRAGENLIJST!$F$168=dropdowns!$D$48,VRAGENLIJST!$F$168=dropdowns!$E$48),OFFSET(VRAGENLIJST!$F$206,Liquiditeit!J3*2-8,0)*VRAGENLIJST!$F$164,0))))))</f>
        <v>0</v>
      </c>
      <c r="K20" s="329">
        <f ca="1">IF(VRAGENLIJST!$F$168="",0,IF(OR(VRAGENLIJST!$F$168=dropdowns!$B$44,VRAGENLIJST!$F$168=dropdowns!$C$44,VRAGENLIJST!$F$168=dropdowns!$D$44,VRAGENLIJST!$F$168=dropdowns!$E$44),OFFSET(VRAGENLIJST!$F$206,(COLUMN(K20)-COLUMN($D$20))*2,0)*VRAGENLIJST!$F$164,IF(OR(VRAGENLIJST!$F$168=dropdowns!$B$45,VRAGENLIJST!$F$168=dropdowns!$C$45,VRAGENLIJST!$F$168=dropdowns!$D$45,VRAGENLIJST!$F$168=dropdowns!$E$45),OFFSET(VRAGENLIJST!$F$206,Liquiditeit!K3*2-4,0)*0.5*VRAGENLIJST!$F$164+(OFFSET(VRAGENLIJST!$F$206,(COLUMN(K20)-COLUMN($D$20))*2,0))*0.5*VRAGENLIJST!$F$164,IF(OR(VRAGENLIJST!$F$168=dropdowns!$B$46,VRAGENLIJST!$F$168=dropdowns!$C$46,VRAGENLIJST!$F$168=dropdowns!$D$46,VRAGENLIJST!$F$168=dropdowns!$E$46),OFFSET(VRAGENLIJST!$F$206,Liquiditeit!K3*2-4,0)*VRAGENLIJST!$F$164,IF(OR(VRAGENLIJST!$F$168=dropdowns!$B$47,VRAGENLIJST!$F$168=dropdowns!$C$47,VRAGENLIJST!$F$168=dropdowns!$D$47,VRAGENLIJST!$F$168=dropdowns!$E$47),OFFSET(VRAGENLIJST!$F$206,Liquiditeit!K3*2-6,0)*VRAGENLIJST!$F$164,IF(OR(VRAGENLIJST!$F$168=dropdowns!$B$48,VRAGENLIJST!$F$168=dropdowns!$C$48,VRAGENLIJST!$F$168=dropdowns!$D$48,VRAGENLIJST!$F$168=dropdowns!$E$48),OFFSET(VRAGENLIJST!$F$206,Liquiditeit!K3*2-8,0)*VRAGENLIJST!$F$164,0))))))</f>
        <v>0</v>
      </c>
      <c r="L20" s="329">
        <f ca="1">IF(VRAGENLIJST!$F$168="",0,IF(OR(VRAGENLIJST!$F$168=dropdowns!$B$44,VRAGENLIJST!$F$168=dropdowns!$C$44,VRAGENLIJST!$F$168=dropdowns!$D$44,VRAGENLIJST!$F$168=dropdowns!$E$44),OFFSET(VRAGENLIJST!$F$206,(COLUMN(L20)-COLUMN($D$20))*2,0)*VRAGENLIJST!$F$164,IF(OR(VRAGENLIJST!$F$168=dropdowns!$B$45,VRAGENLIJST!$F$168=dropdowns!$C$45,VRAGENLIJST!$F$168=dropdowns!$D$45,VRAGENLIJST!$F$168=dropdowns!$E$45),OFFSET(VRAGENLIJST!$F$206,Liquiditeit!L3*2-4,0)*0.5*VRAGENLIJST!$F$164+(OFFSET(VRAGENLIJST!$F$206,(COLUMN(L20)-COLUMN($D$20))*2,0))*0.5*VRAGENLIJST!$F$164,IF(OR(VRAGENLIJST!$F$168=dropdowns!$B$46,VRAGENLIJST!$F$168=dropdowns!$C$46,VRAGENLIJST!$F$168=dropdowns!$D$46,VRAGENLIJST!$F$168=dropdowns!$E$46),OFFSET(VRAGENLIJST!$F$206,Liquiditeit!L3*2-4,0)*VRAGENLIJST!$F$164,IF(OR(VRAGENLIJST!$F$168=dropdowns!$B$47,VRAGENLIJST!$F$168=dropdowns!$C$47,VRAGENLIJST!$F$168=dropdowns!$D$47,VRAGENLIJST!$F$168=dropdowns!$E$47),OFFSET(VRAGENLIJST!$F$206,Liquiditeit!L3*2-6,0)*VRAGENLIJST!$F$164,IF(OR(VRAGENLIJST!$F$168=dropdowns!$B$48,VRAGENLIJST!$F$168=dropdowns!$C$48,VRAGENLIJST!$F$168=dropdowns!$D$48,VRAGENLIJST!$F$168=dropdowns!$E$48),OFFSET(VRAGENLIJST!$F$206,Liquiditeit!L3*2-8,0)*VRAGENLIJST!$F$164,0))))))</f>
        <v>0</v>
      </c>
      <c r="M20" s="329">
        <f ca="1">IF(VRAGENLIJST!$F$168="",0,IF(OR(VRAGENLIJST!$F$168=dropdowns!$B$44,VRAGENLIJST!$F$168=dropdowns!$C$44,VRAGENLIJST!$F$168=dropdowns!$D$44,VRAGENLIJST!$F$168=dropdowns!$E$44),OFFSET(VRAGENLIJST!$F$206,(COLUMN(M20)-COLUMN($D$20))*2,0)*VRAGENLIJST!$F$164,IF(OR(VRAGENLIJST!$F$168=dropdowns!$B$45,VRAGENLIJST!$F$168=dropdowns!$C$45,VRAGENLIJST!$F$168=dropdowns!$D$45,VRAGENLIJST!$F$168=dropdowns!$E$45),OFFSET(VRAGENLIJST!$F$206,Liquiditeit!M3*2-4,0)*0.5*VRAGENLIJST!$F$164+(OFFSET(VRAGENLIJST!$F$206,(COLUMN(M20)-COLUMN($D$20))*2,0))*0.5*VRAGENLIJST!$F$164,IF(OR(VRAGENLIJST!$F$168=dropdowns!$B$46,VRAGENLIJST!$F$168=dropdowns!$C$46,VRAGENLIJST!$F$168=dropdowns!$D$46,VRAGENLIJST!$F$168=dropdowns!$E$46),OFFSET(VRAGENLIJST!$F$206,Liquiditeit!M3*2-4,0)*VRAGENLIJST!$F$164,IF(OR(VRAGENLIJST!$F$168=dropdowns!$B$47,VRAGENLIJST!$F$168=dropdowns!$C$47,VRAGENLIJST!$F$168=dropdowns!$D$47,VRAGENLIJST!$F$168=dropdowns!$E$47),OFFSET(VRAGENLIJST!$F$206,Liquiditeit!M3*2-6,0)*VRAGENLIJST!$F$164,IF(OR(VRAGENLIJST!$F$168=dropdowns!$B$48,VRAGENLIJST!$F$168=dropdowns!$C$48,VRAGENLIJST!$F$168=dropdowns!$D$48,VRAGENLIJST!$F$168=dropdowns!$E$48),OFFSET(VRAGENLIJST!$F$206,Liquiditeit!M3*2-8,0)*VRAGENLIJST!$F$164,0))))))</f>
        <v>0</v>
      </c>
      <c r="N20" s="329">
        <f ca="1">IF(VRAGENLIJST!$F$168="",0,IF(OR(VRAGENLIJST!$F$168=dropdowns!$B$44,VRAGENLIJST!$F$168=dropdowns!$C$44,VRAGENLIJST!$F$168=dropdowns!$D$44,VRAGENLIJST!$F$168=dropdowns!$E$44),OFFSET(VRAGENLIJST!$F$206,(COLUMN(N20)-COLUMN($D$20))*2,0)*VRAGENLIJST!$F$164,IF(OR(VRAGENLIJST!$F$168=dropdowns!$B$45,VRAGENLIJST!$F$168=dropdowns!$C$45,VRAGENLIJST!$F$168=dropdowns!$D$45,VRAGENLIJST!$F$168=dropdowns!$E$45),OFFSET(VRAGENLIJST!$F$206,Liquiditeit!N3*2-4,0)*0.5*VRAGENLIJST!$F$164+(OFFSET(VRAGENLIJST!$F$206,(COLUMN(N20)-COLUMN($D$20))*2,0))*0.5*VRAGENLIJST!$F$164,IF(OR(VRAGENLIJST!$F$168=dropdowns!$B$46,VRAGENLIJST!$F$168=dropdowns!$C$46,VRAGENLIJST!$F$168=dropdowns!$D$46,VRAGENLIJST!$F$168=dropdowns!$E$46),OFFSET(VRAGENLIJST!$F$206,Liquiditeit!N3*2-4,0)*VRAGENLIJST!$F$164,IF(OR(VRAGENLIJST!$F$168=dropdowns!$B$47,VRAGENLIJST!$F$168=dropdowns!$C$47,VRAGENLIJST!$F$168=dropdowns!$D$47,VRAGENLIJST!$F$168=dropdowns!$E$47),OFFSET(VRAGENLIJST!$F$206,Liquiditeit!N3*2-6,0)*VRAGENLIJST!$F$164,IF(OR(VRAGENLIJST!$F$168=dropdowns!$B$48,VRAGENLIJST!$F$168=dropdowns!$C$48,VRAGENLIJST!$F$168=dropdowns!$D$48,VRAGENLIJST!$F$168=dropdowns!$E$48),OFFSET(VRAGENLIJST!$F$206,Liquiditeit!N3*2-8,0)*VRAGENLIJST!$F$164,0))))))</f>
        <v>0</v>
      </c>
      <c r="O20" s="329">
        <f ca="1">IF(VRAGENLIJST!$F$168="",0,IF(OR(VRAGENLIJST!$F$168=dropdowns!$B$44,VRAGENLIJST!$F$168=dropdowns!$C$44,VRAGENLIJST!$F$168=dropdowns!$D$44,VRAGENLIJST!$F$168=dropdowns!$E$44),OFFSET(VRAGENLIJST!$F$206,(COLUMN(O20)-COLUMN($D$20))*2,0)*VRAGENLIJST!$F$164,IF(OR(VRAGENLIJST!$F$168=dropdowns!$B$45,VRAGENLIJST!$F$168=dropdowns!$C$45,VRAGENLIJST!$F$168=dropdowns!$D$45,VRAGENLIJST!$F$168=dropdowns!$E$45),OFFSET(VRAGENLIJST!$F$206,Liquiditeit!O3*2-4,0)*0.5*VRAGENLIJST!$F$164+(OFFSET(VRAGENLIJST!$F$206,(COLUMN(O20)-COLUMN($D$20))*2,0))*0.5*VRAGENLIJST!$F$164,IF(OR(VRAGENLIJST!$F$168=dropdowns!$B$46,VRAGENLIJST!$F$168=dropdowns!$C$46,VRAGENLIJST!$F$168=dropdowns!$D$46,VRAGENLIJST!$F$168=dropdowns!$E$46),OFFSET(VRAGENLIJST!$F$206,Liquiditeit!O3*2-4,0)*VRAGENLIJST!$F$164,IF(OR(VRAGENLIJST!$F$168=dropdowns!$B$47,VRAGENLIJST!$F$168=dropdowns!$C$47,VRAGENLIJST!$F$168=dropdowns!$D$47,VRAGENLIJST!$F$168=dropdowns!$E$47),OFFSET(VRAGENLIJST!$F$206,Liquiditeit!O3*2-6,0)*VRAGENLIJST!$F$164,IF(OR(VRAGENLIJST!$F$168=dropdowns!$B$48,VRAGENLIJST!$F$168=dropdowns!$C$48,VRAGENLIJST!$F$168=dropdowns!$D$48,VRAGENLIJST!$F$168=dropdowns!$E$48),OFFSET(VRAGENLIJST!$F$206,Liquiditeit!O3*2-8,0)*VRAGENLIJST!$F$164,0))))))</f>
        <v>0</v>
      </c>
      <c r="P20" s="331">
        <f ca="1">SUM(C20:O20)</f>
        <v>0</v>
      </c>
      <c r="R20" s="336"/>
    </row>
    <row r="21" spans="2:21" ht="14.25" customHeight="1" x14ac:dyDescent="0.25">
      <c r="B21" s="328" t="str">
        <f>Vertaling!A220</f>
        <v xml:space="preserve"> Btw inkoop</v>
      </c>
      <c r="C21" s="329"/>
      <c r="D21" s="329">
        <f>(D19*VRAGENLIJST!$D$166)+(D20*VRAGENLIJST!$F$166)</f>
        <v>0</v>
      </c>
      <c r="E21" s="329">
        <f ca="1">(E19*VRAGENLIJST!$D$166)+(E20*VRAGENLIJST!$F$166)</f>
        <v>0</v>
      </c>
      <c r="F21" s="329">
        <f ca="1">(F19*VRAGENLIJST!$D$166)+(F20*VRAGENLIJST!$F$166)</f>
        <v>0</v>
      </c>
      <c r="G21" s="329">
        <f ca="1">(G19*VRAGENLIJST!$D$166)+(G20*VRAGENLIJST!$F$166)</f>
        <v>0</v>
      </c>
      <c r="H21" s="329">
        <f ca="1">(H19*VRAGENLIJST!$D$166)+(H20*VRAGENLIJST!$F$166)</f>
        <v>0</v>
      </c>
      <c r="I21" s="329">
        <f ca="1">(I19*VRAGENLIJST!$D$166)+(I20*VRAGENLIJST!$F$166)</f>
        <v>0</v>
      </c>
      <c r="J21" s="329">
        <f ca="1">(J19*VRAGENLIJST!$D$166)+(J20*VRAGENLIJST!$F$166)</f>
        <v>0</v>
      </c>
      <c r="K21" s="329">
        <f ca="1">(K19*VRAGENLIJST!$D$166)+(K20*VRAGENLIJST!$F$166)</f>
        <v>0</v>
      </c>
      <c r="L21" s="329">
        <f ca="1">(L19*VRAGENLIJST!$D$166)+(L20*VRAGENLIJST!$F$166)</f>
        <v>0</v>
      </c>
      <c r="M21" s="329">
        <f ca="1">(M19*VRAGENLIJST!$D$166)+(M20*VRAGENLIJST!$F$166)</f>
        <v>0</v>
      </c>
      <c r="N21" s="329">
        <f ca="1">(N19*VRAGENLIJST!$D$166)+(N20*VRAGENLIJST!$F$166)</f>
        <v>0</v>
      </c>
      <c r="O21" s="329">
        <f ca="1">(O19*VRAGENLIJST!$D$166)+(O20*VRAGENLIJST!$F$166)</f>
        <v>0</v>
      </c>
      <c r="P21" s="331">
        <f ca="1">SUM(C21:O21)</f>
        <v>0</v>
      </c>
      <c r="R21" s="336"/>
    </row>
    <row r="22" spans="2:21" ht="14.25" customHeight="1" x14ac:dyDescent="0.25">
      <c r="B22" s="328" t="str">
        <f>Vertaling!A221</f>
        <v xml:space="preserve"> Personeelskosten</v>
      </c>
      <c r="C22" s="330"/>
      <c r="D22" s="329">
        <f>IF(D3&gt;=IF(VRAGENLIJST!$F$139="",0,IFERROR(VLOOKUP(VRAGENLIJST!$F$139,dropdowns!$B$32:$F$41,5,FALSE),(VLOOKUP(VRAGENLIJST!$F$139,dropdowns!$C$32:$F$41,4,FALSE)))),VRAGENLIJST!$F$137,0)</f>
        <v>0</v>
      </c>
      <c r="E22" s="329">
        <f>IF(E3&gt;=IF(VRAGENLIJST!$F$139="",0,IFERROR(VLOOKUP(VRAGENLIJST!$F$139,dropdowns!$B$32:$F$41,5,FALSE),(VLOOKUP(VRAGENLIJST!$F$139,dropdowns!$C$32:$F$41,4,FALSE)))),VRAGENLIJST!$F$137,0)</f>
        <v>0</v>
      </c>
      <c r="F22" s="329">
        <f>IF(F3&gt;=IF(VRAGENLIJST!$F$139="",0,IFERROR(VLOOKUP(VRAGENLIJST!$F$139,dropdowns!$B$32:$F$41,5,FALSE),(VLOOKUP(VRAGENLIJST!$F$139,dropdowns!$C$32:$F$41,4,FALSE)))),VRAGENLIJST!$F$137,0)</f>
        <v>0</v>
      </c>
      <c r="G22" s="329">
        <f>IF(G3&gt;=IF(VRAGENLIJST!$F$139="",0,IFERROR(VLOOKUP(VRAGENLIJST!$F$139,dropdowns!$B$32:$F$41,5,FALSE),(VLOOKUP(VRAGENLIJST!$F$139,dropdowns!$C$32:$F$41,4,FALSE)))),VRAGENLIJST!$F$137,0)</f>
        <v>0</v>
      </c>
      <c r="H22" s="329">
        <f>IF(H3&gt;=IF(VRAGENLIJST!$F$139="",0,IFERROR(VLOOKUP(VRAGENLIJST!$F$139,dropdowns!$B$32:$F$41,5,FALSE),(VLOOKUP(VRAGENLIJST!$F$139,dropdowns!$C$32:$F$41,4,FALSE)))),VRAGENLIJST!$F$137,0)</f>
        <v>0</v>
      </c>
      <c r="I22" s="329">
        <f>IF(I3&gt;=IF(VRAGENLIJST!$F$139="",0,IFERROR(VLOOKUP(VRAGENLIJST!$F$139,dropdowns!$B$32:$F$41,5,FALSE),(VLOOKUP(VRAGENLIJST!$F$139,dropdowns!$C$32:$F$41,4,FALSE)))),VRAGENLIJST!$F$137,0)</f>
        <v>0</v>
      </c>
      <c r="J22" s="329">
        <f>IF(J3&gt;=IF(VRAGENLIJST!$F$139="",0,IFERROR(VLOOKUP(VRAGENLIJST!$F$139,dropdowns!$B$32:$F$41,5,FALSE),(VLOOKUP(VRAGENLIJST!$F$139,dropdowns!$C$32:$F$41,4,FALSE)))),VRAGENLIJST!$F$137,0)</f>
        <v>0</v>
      </c>
      <c r="K22" s="329">
        <f>IF(K3&gt;=IF(VRAGENLIJST!$F$139="",0,IFERROR(VLOOKUP(VRAGENLIJST!$F$139,dropdowns!$B$32:$F$41,5,FALSE),(VLOOKUP(VRAGENLIJST!$F$139,dropdowns!$C$32:$F$41,4,FALSE)))),VRAGENLIJST!$F$137,0)</f>
        <v>0</v>
      </c>
      <c r="L22" s="329">
        <f>IF(L3&gt;=IF(VRAGENLIJST!$F$139="",0,IFERROR(VLOOKUP(VRAGENLIJST!$F$139,dropdowns!$B$32:$F$41,5,FALSE),(VLOOKUP(VRAGENLIJST!$F$139,dropdowns!$C$32:$F$41,4,FALSE)))),VRAGENLIJST!$F$137,0)</f>
        <v>0</v>
      </c>
      <c r="M22" s="329">
        <f>IF(M3&gt;=IF(VRAGENLIJST!$F$139="",0,IFERROR(VLOOKUP(VRAGENLIJST!$F$139,dropdowns!$B$32:$F$41,5,FALSE),(VLOOKUP(VRAGENLIJST!$F$139,dropdowns!$C$32:$F$41,4,FALSE)))),VRAGENLIJST!$F$137,0)</f>
        <v>0</v>
      </c>
      <c r="N22" s="329">
        <f>IF(N3&gt;=IF(VRAGENLIJST!$F$139="",0,IFERROR(VLOOKUP(VRAGENLIJST!$F$139,dropdowns!$B$32:$F$41,5,FALSE),(VLOOKUP(VRAGENLIJST!$F$139,dropdowns!$C$32:$F$41,4,FALSE)))),VRAGENLIJST!$F$137,0)</f>
        <v>0</v>
      </c>
      <c r="O22" s="329">
        <f>IF(O3&gt;=IF(VRAGENLIJST!$F$139="",0,IFERROR(VLOOKUP(VRAGENLIJST!$F$139,dropdowns!$B$32:$F$41,5,FALSE),(VLOOKUP(VRAGENLIJST!$F$139,dropdowns!$C$32:$F$41,4,FALSE)))),VRAGENLIJST!$F$137,0)</f>
        <v>0</v>
      </c>
      <c r="P22" s="331">
        <f>SUM(D22:O22)</f>
        <v>0</v>
      </c>
      <c r="R22" s="337"/>
      <c r="S22" s="18"/>
      <c r="T22" s="412"/>
      <c r="U22" s="412"/>
    </row>
    <row r="23" spans="2:21" ht="14.25" customHeight="1" x14ac:dyDescent="0.25">
      <c r="B23" s="328" t="e">
        <f>IF(VRAGENLIJST!$D$4=dropdowns!$A$6,Vertaling!A234,L49+Vertaling!A235)</f>
        <v>#VALUE!</v>
      </c>
      <c r="C23" s="330"/>
      <c r="D23" s="329">
        <f>IF(VRAGENLIJST!$D$4=dropdowns!$A$6,VRAGENLIJST!$F$68+VRAGENLIJST!$D$68,0)</f>
        <v>0</v>
      </c>
      <c r="E23" s="329">
        <f>IF(VRAGENLIJST!$D$4=dropdowns!$A$6,VRAGENLIJST!$F$68+VRAGENLIJST!$D$68,0)</f>
        <v>0</v>
      </c>
      <c r="F23" s="329">
        <f>IF(VRAGENLIJST!$D$4=dropdowns!$A$6,VRAGENLIJST!$F$68+VRAGENLIJST!$D$68,0)</f>
        <v>0</v>
      </c>
      <c r="G23" s="329">
        <f>IF(VRAGENLIJST!$D$4=dropdowns!$A$6,VRAGENLIJST!$F$68+VRAGENLIJST!$D$68,0)</f>
        <v>0</v>
      </c>
      <c r="H23" s="329">
        <f>IF(VRAGENLIJST!$D$4=dropdowns!$A$6,VRAGENLIJST!$F$68+VRAGENLIJST!$D$68,0)</f>
        <v>0</v>
      </c>
      <c r="I23" s="329">
        <f>IF(VRAGENLIJST!$D$4=dropdowns!$A$6,VRAGENLIJST!$F$68+VRAGENLIJST!$D$68,0)</f>
        <v>0</v>
      </c>
      <c r="J23" s="329">
        <f>IF(VRAGENLIJST!$D$4=dropdowns!$A$6,VRAGENLIJST!$F$68+VRAGENLIJST!$D$68,0)</f>
        <v>0</v>
      </c>
      <c r="K23" s="329">
        <f>IF(VRAGENLIJST!$D$4=dropdowns!$A$6,VRAGENLIJST!$F$68+VRAGENLIJST!$D$68,0)</f>
        <v>0</v>
      </c>
      <c r="L23" s="329">
        <f>IF(VRAGENLIJST!$D$4=dropdowns!$A$6,VRAGENLIJST!$F$68+VRAGENLIJST!$D$68,0)</f>
        <v>0</v>
      </c>
      <c r="M23" s="329">
        <f>IF(VRAGENLIJST!$D$4=dropdowns!$A$6,VRAGENLIJST!$F$68+VRAGENLIJST!$D$68,0)</f>
        <v>0</v>
      </c>
      <c r="N23" s="329">
        <f>IF(VRAGENLIJST!$D$4=dropdowns!$A$6,VRAGENLIJST!$F$68+VRAGENLIJST!$D$68,0)</f>
        <v>0</v>
      </c>
      <c r="O23" s="329">
        <f>IF(VRAGENLIJST!$D$4=dropdowns!$A$6,VRAGENLIJST!$F$68+VRAGENLIJST!$D$68,0)</f>
        <v>0</v>
      </c>
      <c r="P23" s="331">
        <f>SUM(D23:O23)</f>
        <v>0</v>
      </c>
      <c r="R23" s="336"/>
      <c r="S23" s="164"/>
      <c r="T23" s="149"/>
      <c r="U23" s="149"/>
    </row>
    <row r="24" spans="2:21" ht="14.25" customHeight="1" x14ac:dyDescent="0.25">
      <c r="B24" s="328" t="str">
        <f>Vertaling!A222</f>
        <v xml:space="preserve"> Huisvestingskosten</v>
      </c>
      <c r="C24" s="330"/>
      <c r="D24" s="329">
        <f>IF(D3&gt;=IF(VRAGENLIJST!$F$143="",0,IFERROR(VLOOKUP(VRAGENLIJST!$F$143,dropdowns!$B$32:$F$41,5,FALSE),(VLOOKUP(VRAGENLIJST!$F$143,dropdowns!$C$32:$F$41,4,FALSE)))),VRAGENLIJST!$F$141,0)</f>
        <v>0</v>
      </c>
      <c r="E24" s="329">
        <f>IF(E3&gt;=IF(VRAGENLIJST!$F$143="",0,IFERROR(VLOOKUP(VRAGENLIJST!$F$143,dropdowns!$B$32:$F$41,5,FALSE),(VLOOKUP(VRAGENLIJST!$F$143,dropdowns!$C$32:$F$41,4,FALSE)))),VRAGENLIJST!$F$141,0)</f>
        <v>0</v>
      </c>
      <c r="F24" s="329">
        <f>IF(F3&gt;=IF(VRAGENLIJST!$F$143="",0,IFERROR(VLOOKUP(VRAGENLIJST!$F$143,dropdowns!$B$32:$F$41,5,FALSE),(VLOOKUP(VRAGENLIJST!$F$143,dropdowns!$C$32:$F$41,4,FALSE)))),VRAGENLIJST!$F$141,0)</f>
        <v>0</v>
      </c>
      <c r="G24" s="329">
        <f>IF(G3&gt;=IF(VRAGENLIJST!$F$143="",0,IFERROR(VLOOKUP(VRAGENLIJST!$F$143,dropdowns!$B$32:$F$41,5,FALSE),(VLOOKUP(VRAGENLIJST!$F$143,dropdowns!$C$32:$F$41,4,FALSE)))),VRAGENLIJST!$F$141,0)</f>
        <v>0</v>
      </c>
      <c r="H24" s="329">
        <f>IF(H3&gt;=IF(VRAGENLIJST!$F$143="",0,IFERROR(VLOOKUP(VRAGENLIJST!$F$143,dropdowns!$B$32:$F$41,5,FALSE),(VLOOKUP(VRAGENLIJST!$F$143,dropdowns!$C$32:$F$41,4,FALSE)))),VRAGENLIJST!$F$141,0)</f>
        <v>0</v>
      </c>
      <c r="I24" s="329">
        <f>IF(I3&gt;=IF(VRAGENLIJST!$F$143="",0,IFERROR(VLOOKUP(VRAGENLIJST!$F$143,dropdowns!$B$32:$F$41,5,FALSE),(VLOOKUP(VRAGENLIJST!$F$143,dropdowns!$C$32:$F$41,4,FALSE)))),VRAGENLIJST!$F$141,0)</f>
        <v>0</v>
      </c>
      <c r="J24" s="329">
        <f>IF(J3&gt;=IF(VRAGENLIJST!$F$143="",0,IFERROR(VLOOKUP(VRAGENLIJST!$F$143,dropdowns!$B$32:$F$41,5,FALSE),(VLOOKUP(VRAGENLIJST!$F$143,dropdowns!$C$32:$F$41,4,FALSE)))),VRAGENLIJST!$F$141,0)</f>
        <v>0</v>
      </c>
      <c r="K24" s="329">
        <f>IF(K3&gt;=IF(VRAGENLIJST!$F$143="",0,IFERROR(VLOOKUP(VRAGENLIJST!$F$143,dropdowns!$B$32:$F$41,5,FALSE),(VLOOKUP(VRAGENLIJST!$F$143,dropdowns!$C$32:$F$41,4,FALSE)))),VRAGENLIJST!$F$141,0)</f>
        <v>0</v>
      </c>
      <c r="L24" s="329">
        <f>IF(L3&gt;=IF(VRAGENLIJST!$F$143="",0,IFERROR(VLOOKUP(VRAGENLIJST!$F$143,dropdowns!$B$32:$F$41,5,FALSE),(VLOOKUP(VRAGENLIJST!$F$143,dropdowns!$C$32:$F$41,4,FALSE)))),VRAGENLIJST!$F$141,0)</f>
        <v>0</v>
      </c>
      <c r="M24" s="329">
        <f>IF(M3&gt;=IF(VRAGENLIJST!$F$143="",0,IFERROR(VLOOKUP(VRAGENLIJST!$F$143,dropdowns!$B$32:$F$41,5,FALSE),(VLOOKUP(VRAGENLIJST!$F$143,dropdowns!$C$32:$F$41,4,FALSE)))),VRAGENLIJST!$F$141,0)</f>
        <v>0</v>
      </c>
      <c r="N24" s="329">
        <f>IF(N3&gt;=IF(VRAGENLIJST!$F$143="",0,IFERROR(VLOOKUP(VRAGENLIJST!$F$143,dropdowns!$B$32:$F$41,5,FALSE),(VLOOKUP(VRAGENLIJST!$F$143,dropdowns!$C$32:$F$41,4,FALSE)))),VRAGENLIJST!$F$141,0)</f>
        <v>0</v>
      </c>
      <c r="O24" s="329">
        <f>IF(O3&gt;=IF(VRAGENLIJST!$F$143="",0,IFERROR(VLOOKUP(VRAGENLIJST!$F$143,dropdowns!$B$32:$F$41,5,FALSE),(VLOOKUP(VRAGENLIJST!$F$143,dropdowns!$C$32:$F$41,4,FALSE)))),VRAGENLIJST!$F$141,0)</f>
        <v>0</v>
      </c>
      <c r="P24" s="331">
        <f>SUM(D24:O24)</f>
        <v>0</v>
      </c>
      <c r="R24" s="336"/>
      <c r="S24" s="19"/>
      <c r="T24" s="412"/>
      <c r="U24" s="412"/>
    </row>
    <row r="25" spans="2:21" ht="14.25" customHeight="1" x14ac:dyDescent="0.25">
      <c r="B25" s="328" t="str">
        <f>Vertaling!A223</f>
        <v xml:space="preserve"> Vervoer/transportkosten</v>
      </c>
      <c r="C25" s="330"/>
      <c r="D25" s="329">
        <f>VRAGENLIJST!$F$145</f>
        <v>0</v>
      </c>
      <c r="E25" s="329">
        <f>VRAGENLIJST!$F$145</f>
        <v>0</v>
      </c>
      <c r="F25" s="329">
        <f>VRAGENLIJST!$F$145</f>
        <v>0</v>
      </c>
      <c r="G25" s="329">
        <f>VRAGENLIJST!$F$145</f>
        <v>0</v>
      </c>
      <c r="H25" s="329">
        <f>VRAGENLIJST!$F$145</f>
        <v>0</v>
      </c>
      <c r="I25" s="329">
        <f>VRAGENLIJST!$F$145</f>
        <v>0</v>
      </c>
      <c r="J25" s="329">
        <f>VRAGENLIJST!$F$145</f>
        <v>0</v>
      </c>
      <c r="K25" s="329">
        <f>VRAGENLIJST!$F$145</f>
        <v>0</v>
      </c>
      <c r="L25" s="329">
        <f>VRAGENLIJST!$F$145</f>
        <v>0</v>
      </c>
      <c r="M25" s="329">
        <f>VRAGENLIJST!$F$145</f>
        <v>0</v>
      </c>
      <c r="N25" s="329">
        <f>VRAGENLIJST!$F$145</f>
        <v>0</v>
      </c>
      <c r="O25" s="329">
        <f>VRAGENLIJST!$F$145</f>
        <v>0</v>
      </c>
      <c r="P25" s="331">
        <f>SUM(D25:O25)</f>
        <v>0</v>
      </c>
      <c r="R25" s="336"/>
      <c r="S25" s="19"/>
      <c r="T25" s="412"/>
      <c r="U25" s="412"/>
    </row>
    <row r="26" spans="2:21" ht="14.25" customHeight="1" x14ac:dyDescent="0.25">
      <c r="B26" s="328" t="str">
        <f>Vertaling!A224</f>
        <v xml:space="preserve"> Promotiekosten</v>
      </c>
      <c r="C26" s="329">
        <f>'Investering &amp; Financiering'!D13</f>
        <v>0</v>
      </c>
      <c r="D26" s="329">
        <f>VRAGENLIJST!$F$147</f>
        <v>0</v>
      </c>
      <c r="E26" s="329">
        <f>VRAGENLIJST!$F$147</f>
        <v>0</v>
      </c>
      <c r="F26" s="329">
        <f>VRAGENLIJST!$F$147</f>
        <v>0</v>
      </c>
      <c r="G26" s="329">
        <f>VRAGENLIJST!$F$147</f>
        <v>0</v>
      </c>
      <c r="H26" s="329">
        <f>VRAGENLIJST!$F$147</f>
        <v>0</v>
      </c>
      <c r="I26" s="329">
        <f>VRAGENLIJST!$F$147</f>
        <v>0</v>
      </c>
      <c r="J26" s="329">
        <f>VRAGENLIJST!$F$147</f>
        <v>0</v>
      </c>
      <c r="K26" s="329">
        <f>VRAGENLIJST!$F$147</f>
        <v>0</v>
      </c>
      <c r="L26" s="329">
        <f>VRAGENLIJST!$F$147</f>
        <v>0</v>
      </c>
      <c r="M26" s="329">
        <f>VRAGENLIJST!$F$147</f>
        <v>0</v>
      </c>
      <c r="N26" s="329">
        <f>VRAGENLIJST!$F$147</f>
        <v>0</v>
      </c>
      <c r="O26" s="329">
        <f>VRAGENLIJST!$F$147</f>
        <v>0</v>
      </c>
      <c r="P26" s="331">
        <f>SUM(C26:O26)</f>
        <v>0</v>
      </c>
      <c r="R26" s="336"/>
      <c r="S26" s="18"/>
      <c r="T26" s="412"/>
      <c r="U26" s="412"/>
    </row>
    <row r="27" spans="2:21" ht="14.25" customHeight="1" x14ac:dyDescent="0.25">
      <c r="B27" s="328" t="str">
        <f>Vertaling!A225</f>
        <v xml:space="preserve"> Overige bedrijfskosten</v>
      </c>
      <c r="C27" s="330"/>
      <c r="D27" s="329">
        <f>SUM(VRAGENLIJST!$F$149:$F$157)</f>
        <v>0</v>
      </c>
      <c r="E27" s="329">
        <f>SUM(VRAGENLIJST!$F$149:$F$157)</f>
        <v>0</v>
      </c>
      <c r="F27" s="329">
        <f>SUM(VRAGENLIJST!$F$149:$F$157)</f>
        <v>0</v>
      </c>
      <c r="G27" s="329">
        <f>SUM(VRAGENLIJST!$F$149:$F$157)</f>
        <v>0</v>
      </c>
      <c r="H27" s="329">
        <f>SUM(VRAGENLIJST!$F$149:$F$157)</f>
        <v>0</v>
      </c>
      <c r="I27" s="329">
        <f>SUM(VRAGENLIJST!$F$149:$F$157)</f>
        <v>0</v>
      </c>
      <c r="J27" s="329">
        <f>SUM(VRAGENLIJST!$F$149:$F$157)</f>
        <v>0</v>
      </c>
      <c r="K27" s="329">
        <f>SUM(VRAGENLIJST!$F$149:$F$157)</f>
        <v>0</v>
      </c>
      <c r="L27" s="329">
        <f>SUM(VRAGENLIJST!$F$149:$F$157)</f>
        <v>0</v>
      </c>
      <c r="M27" s="329">
        <f>SUM(VRAGENLIJST!$F$149:$F$157)</f>
        <v>0</v>
      </c>
      <c r="N27" s="329">
        <f>SUM(VRAGENLIJST!$F$149:$F$157)</f>
        <v>0</v>
      </c>
      <c r="O27" s="329">
        <f>SUM(VRAGENLIJST!$F$149:$F$157)</f>
        <v>0</v>
      </c>
      <c r="P27" s="331">
        <f>SUM(C27:O27)</f>
        <v>0</v>
      </c>
      <c r="S27" s="18"/>
      <c r="T27" s="412"/>
      <c r="U27" s="412"/>
    </row>
    <row r="28" spans="2:21" ht="14.25" customHeight="1" x14ac:dyDescent="0.25">
      <c r="B28" s="328" t="str">
        <f>Vertaling!A226</f>
        <v xml:space="preserve"> Btw investeringen/kosten</v>
      </c>
      <c r="C28" s="329">
        <f>'Investering &amp; Financiering'!D14</f>
        <v>0</v>
      </c>
      <c r="D28" s="329">
        <f>(D24+D25+D26+D27)*0.21</f>
        <v>0</v>
      </c>
      <c r="E28" s="329">
        <f t="shared" ref="E28:O28" si="4">(E24+E25+E26+E27)*0.21</f>
        <v>0</v>
      </c>
      <c r="F28" s="329">
        <f t="shared" si="4"/>
        <v>0</v>
      </c>
      <c r="G28" s="329">
        <f t="shared" si="4"/>
        <v>0</v>
      </c>
      <c r="H28" s="329">
        <f t="shared" si="4"/>
        <v>0</v>
      </c>
      <c r="I28" s="329">
        <f t="shared" si="4"/>
        <v>0</v>
      </c>
      <c r="J28" s="329">
        <f t="shared" si="4"/>
        <v>0</v>
      </c>
      <c r="K28" s="329">
        <f t="shared" si="4"/>
        <v>0</v>
      </c>
      <c r="L28" s="329">
        <f t="shared" si="4"/>
        <v>0</v>
      </c>
      <c r="M28" s="329">
        <f t="shared" si="4"/>
        <v>0</v>
      </c>
      <c r="N28" s="329">
        <f t="shared" si="4"/>
        <v>0</v>
      </c>
      <c r="O28" s="329">
        <f t="shared" si="4"/>
        <v>0</v>
      </c>
      <c r="P28" s="331">
        <f>SUM(C28:O28)</f>
        <v>0</v>
      </c>
      <c r="R28" s="336"/>
    </row>
    <row r="29" spans="2:21" ht="14.25" customHeight="1" x14ac:dyDescent="0.25">
      <c r="B29" s="328" t="str">
        <f>Vertaling!A227</f>
        <v xml:space="preserve"> Btw-afdracht</v>
      </c>
      <c r="C29" s="330"/>
      <c r="D29" s="330"/>
      <c r="E29" s="330"/>
      <c r="F29" s="330"/>
      <c r="G29" s="329">
        <f>SUM(VRAGENLIJST!$D$206:$D$211)*VRAGENLIJST!$D$200+SUM(VRAGENLIJST!$F$206:$F$211)*VRAGENLIJST!$F$200-IF(VRAGENLIJST!$D$200=0,0,SUM(VRAGENLIJST!$D$172:$D$177))*VRAGENLIJST!$D$166-IF(VRAGENLIJST!$F$200=0,0,SUM(VRAGENLIJST!$F$172:$F$177))*VRAGENLIJST!$F$166-SUM(C28:F28)</f>
        <v>0</v>
      </c>
      <c r="H29" s="330"/>
      <c r="I29" s="330"/>
      <c r="J29" s="329">
        <f>SUM(VRAGENLIJST!$D$212:$D$217)*VRAGENLIJST!$D$200+SUM(VRAGENLIJST!$F$212:$F$217)*VRAGENLIJST!$F$200-IF(VRAGENLIJST!$D$200=0,0,SUM(VRAGENLIJST!$D$178:$D$183))*VRAGENLIJST!$D$166-IF(VRAGENLIJST!$F$200=0,0,SUM(VRAGENLIJST!$F$178:$F$183))*VRAGENLIJST!$F$166-SUM(G28:I28)</f>
        <v>0</v>
      </c>
      <c r="K29" s="330"/>
      <c r="L29" s="330"/>
      <c r="M29" s="329">
        <f>SUM(VRAGENLIJST!$D$218:$D$223)*VRAGENLIJST!$D$200+SUM(VRAGENLIJST!$F$218:$F$223)*VRAGENLIJST!$F$200-IF(VRAGENLIJST!$D$200=0,0,SUM(VRAGENLIJST!$D$184:$D$189))*VRAGENLIJST!$D$166-IF(VRAGENLIJST!$F$200=0,0,SUM(VRAGENLIJST!$F$184:$F$189))*VRAGENLIJST!$F$166-SUM(J28:L28)</f>
        <v>0</v>
      </c>
      <c r="N29" s="330"/>
      <c r="O29" s="330"/>
      <c r="P29" s="331">
        <f>SUM(D29:O29)</f>
        <v>0</v>
      </c>
    </row>
    <row r="30" spans="2:21" ht="14.25" customHeight="1" x14ac:dyDescent="0.25">
      <c r="B30" s="328" t="str">
        <f>Vertaling!A228</f>
        <v xml:space="preserve"> Rente (excl. Qredits)</v>
      </c>
      <c r="C30" s="330"/>
      <c r="D30" s="329">
        <f>VRAGENLIJST!$F$120+VRAGENLIJST!$F$128</f>
        <v>0</v>
      </c>
      <c r="E30" s="329">
        <f>VRAGENLIJST!$F$120+VRAGENLIJST!$F$128</f>
        <v>0</v>
      </c>
      <c r="F30" s="329">
        <f>VRAGENLIJST!$F$120+VRAGENLIJST!$F$128</f>
        <v>0</v>
      </c>
      <c r="G30" s="329">
        <f>VRAGENLIJST!$F$120+VRAGENLIJST!$F$128</f>
        <v>0</v>
      </c>
      <c r="H30" s="329">
        <f>VRAGENLIJST!$F$120+VRAGENLIJST!$F$128</f>
        <v>0</v>
      </c>
      <c r="I30" s="329">
        <f>VRAGENLIJST!$F$120+VRAGENLIJST!$F$128</f>
        <v>0</v>
      </c>
      <c r="J30" s="329">
        <f>VRAGENLIJST!$F$120+VRAGENLIJST!$F$128</f>
        <v>0</v>
      </c>
      <c r="K30" s="329">
        <f>VRAGENLIJST!$F$120+VRAGENLIJST!$F$128</f>
        <v>0</v>
      </c>
      <c r="L30" s="329">
        <f>VRAGENLIJST!$F$120+VRAGENLIJST!$F$128</f>
        <v>0</v>
      </c>
      <c r="M30" s="329">
        <f>VRAGENLIJST!$F$120+VRAGENLIJST!$F$128</f>
        <v>0</v>
      </c>
      <c r="N30" s="329">
        <f>VRAGENLIJST!$F$120+VRAGENLIJST!$F$128</f>
        <v>0</v>
      </c>
      <c r="O30" s="329">
        <f>VRAGENLIJST!$F$120+VRAGENLIJST!$F$128</f>
        <v>0</v>
      </c>
      <c r="P30" s="331">
        <f>SUM(D30:O30)</f>
        <v>0</v>
      </c>
    </row>
    <row r="31" spans="2:21" ht="14.25" customHeight="1" x14ac:dyDescent="0.25">
      <c r="B31" s="328" t="str">
        <f>Vertaling!A229</f>
        <v xml:space="preserve"> Aflossing (excl. Qredits)</v>
      </c>
      <c r="C31" s="330"/>
      <c r="D31" s="329">
        <f>IF(AND(D3&gt;=IF(VRAGENLIJST!$F$124="",0,IFERROR(VLOOKUP(VRAGENLIJST!$F$124,dropdowns!$B$32:$F$41,5,FALSE),(VLOOKUP(VRAGENLIJST!$F$124,dropdowns!$C$32:$F$41,4,FALSE)))),D3&lt;IF(VRAGENLIJST!$F$124="",0,IFERROR(VLOOKUP(VRAGENLIJST!$F$124,dropdowns!$B$32:$F$41,5,FALSE),(VLOOKUP(VRAGENLIJST!$F$124,dropdowns!$C$32:$F$41,4,FALSE))))+IF(VRAGENLIJST!$F$118&gt;0,VRAGENLIJST!$F$118/VRAGENLIJST!$F$122,0)),VRAGENLIJST!$F$122,0)+IF(AND(Liquiditeit!D3&gt;=IF(VRAGENLIJST!$F$132="",0,IFERROR(VLOOKUP(VRAGENLIJST!$F$132,dropdowns!$B$32:$F$41,5,FALSE),(VLOOKUP(VRAGENLIJST!$F$132,dropdowns!$C$32:$F$41,4,FALSE)))),Liquiditeit!D3&lt;IF(VRAGENLIJST!$F$132="",0,IFERROR(VLOOKUP(VRAGENLIJST!$F$132,dropdowns!$B$32:$F$41,5,FALSE),(VLOOKUP(VRAGENLIJST!$F$132,dropdowns!$C$32:$F$41,4,FALSE))))+IF(VRAGENLIJST!$F$130&gt;0,VRAGENLIJST!$F$126/VRAGENLIJST!$F$130,0)),VRAGENLIJST!$F$130,0)</f>
        <v>0</v>
      </c>
      <c r="E31" s="329">
        <f>IF(AND(E3&gt;=IF(VRAGENLIJST!$F$124="",0,IFERROR(VLOOKUP(VRAGENLIJST!$F$124,dropdowns!$B$32:$F$41,5,FALSE),(VLOOKUP(VRAGENLIJST!$F$124,dropdowns!$C$32:$F$41,4,FALSE)))),E3&lt;IF(VRAGENLIJST!$F$124="",0,IFERROR(VLOOKUP(VRAGENLIJST!$F$124,dropdowns!$B$32:$F$41,5,FALSE),(VLOOKUP(VRAGENLIJST!$F$124,dropdowns!$C$32:$F$41,4,FALSE))))+IF(VRAGENLIJST!$F$118&gt;0,VRAGENLIJST!$F$118/VRAGENLIJST!$F$122,0)),VRAGENLIJST!$F$122,0)+IF(AND(Liquiditeit!E3&gt;=IF(VRAGENLIJST!$F$132="",0,IFERROR(VLOOKUP(VRAGENLIJST!$F$132,dropdowns!$B$32:$F$41,5,FALSE),(VLOOKUP(VRAGENLIJST!$F$132,dropdowns!$C$32:$F$41,4,FALSE)))),Liquiditeit!E3&lt;IF(VRAGENLIJST!$F$132="",0,IFERROR(VLOOKUP(VRAGENLIJST!$F$132,dropdowns!$B$32:$F$41,5,FALSE),(VLOOKUP(VRAGENLIJST!$F$132,dropdowns!$C$32:$F$41,4,FALSE))))+IF(VRAGENLIJST!$F$130&gt;0,VRAGENLIJST!$F$126/VRAGENLIJST!$F$130,0)),VRAGENLIJST!$F$130,0)</f>
        <v>0</v>
      </c>
      <c r="F31" s="329">
        <f>IF(AND(F3&gt;=IF(VRAGENLIJST!$F$124="",0,IFERROR(VLOOKUP(VRAGENLIJST!$F$124,dropdowns!$B$32:$F$41,5,FALSE),(VLOOKUP(VRAGENLIJST!$F$124,dropdowns!$C$32:$F$41,4,FALSE)))),F3&lt;IF(VRAGENLIJST!$F$124="",0,IFERROR(VLOOKUP(VRAGENLIJST!$F$124,dropdowns!$B$32:$F$41,5,FALSE),(VLOOKUP(VRAGENLIJST!$F$124,dropdowns!$C$32:$F$41,4,FALSE))))+IF(VRAGENLIJST!$F$118&gt;0,VRAGENLIJST!$F$118/VRAGENLIJST!$F$122,0)),VRAGENLIJST!$F$122,0)+IF(AND(Liquiditeit!F3&gt;=IF(VRAGENLIJST!$F$132="",0,IFERROR(VLOOKUP(VRAGENLIJST!$F$132,dropdowns!$B$32:$F$41,5,FALSE),(VLOOKUP(VRAGENLIJST!$F$132,dropdowns!$C$32:$F$41,4,FALSE)))),Liquiditeit!F3&lt;IF(VRAGENLIJST!$F$132="",0,IFERROR(VLOOKUP(VRAGENLIJST!$F$132,dropdowns!$B$32:$F$41,5,FALSE),(VLOOKUP(VRAGENLIJST!$F$132,dropdowns!$C$32:$F$41,4,FALSE))))+IF(VRAGENLIJST!$F$130&gt;0,VRAGENLIJST!$F$126/VRAGENLIJST!$F$130,0)),VRAGENLIJST!$F$130,0)</f>
        <v>0</v>
      </c>
      <c r="G31" s="329">
        <f>IF(AND(G3&gt;=IF(VRAGENLIJST!$F$124="",0,IFERROR(VLOOKUP(VRAGENLIJST!$F$124,dropdowns!$B$32:$F$41,5,FALSE),(VLOOKUP(VRAGENLIJST!$F$124,dropdowns!$C$32:$F$41,4,FALSE)))),G3&lt;IF(VRAGENLIJST!$F$124="",0,IFERROR(VLOOKUP(VRAGENLIJST!$F$124,dropdowns!$B$32:$F$41,5,FALSE),(VLOOKUP(VRAGENLIJST!$F$124,dropdowns!$C$32:$F$41,4,FALSE))))+IF(VRAGENLIJST!$F$118&gt;0,VRAGENLIJST!$F$118/VRAGENLIJST!$F$122,0)),VRAGENLIJST!$F$122,0)+IF(AND(Liquiditeit!G3&gt;=IF(VRAGENLIJST!$F$132="",0,IFERROR(VLOOKUP(VRAGENLIJST!$F$132,dropdowns!$B$32:$F$41,5,FALSE),(VLOOKUP(VRAGENLIJST!$F$132,dropdowns!$C$32:$F$41,4,FALSE)))),Liquiditeit!G3&lt;IF(VRAGENLIJST!$F$132="",0,IFERROR(VLOOKUP(VRAGENLIJST!$F$132,dropdowns!$B$32:$F$41,5,FALSE),(VLOOKUP(VRAGENLIJST!$F$132,dropdowns!$C$32:$F$41,4,FALSE))))+IF(VRAGENLIJST!$F$130&gt;0,VRAGENLIJST!$F$126/VRAGENLIJST!$F$130,0)),VRAGENLIJST!$F$130,0)</f>
        <v>0</v>
      </c>
      <c r="H31" s="329">
        <f>IF(AND(H3&gt;=IF(VRAGENLIJST!$F$124="",0,IFERROR(VLOOKUP(VRAGENLIJST!$F$124,dropdowns!$B$32:$F$41,5,FALSE),(VLOOKUP(VRAGENLIJST!$F$124,dropdowns!$C$32:$F$41,4,FALSE)))),H3&lt;IF(VRAGENLIJST!$F$124="",0,IFERROR(VLOOKUP(VRAGENLIJST!$F$124,dropdowns!$B$32:$F$41,5,FALSE),(VLOOKUP(VRAGENLIJST!$F$124,dropdowns!$C$32:$F$41,4,FALSE))))+IF(VRAGENLIJST!$F$118&gt;0,VRAGENLIJST!$F$118/VRAGENLIJST!$F$122,0)),VRAGENLIJST!$F$122,0)+IF(AND(Liquiditeit!H3&gt;=IF(VRAGENLIJST!$F$132="",0,IFERROR(VLOOKUP(VRAGENLIJST!$F$132,dropdowns!$B$32:$F$41,5,FALSE),(VLOOKUP(VRAGENLIJST!$F$132,dropdowns!$C$32:$F$41,4,FALSE)))),Liquiditeit!H3&lt;IF(VRAGENLIJST!$F$132="",0,IFERROR(VLOOKUP(VRAGENLIJST!$F$132,dropdowns!$B$32:$F$41,5,FALSE),(VLOOKUP(VRAGENLIJST!$F$132,dropdowns!$C$32:$F$41,4,FALSE))))+IF(VRAGENLIJST!$F$130&gt;0,VRAGENLIJST!$F$126/VRAGENLIJST!$F$130,0)),VRAGENLIJST!$F$130,0)</f>
        <v>0</v>
      </c>
      <c r="I31" s="329">
        <f>IF(AND(I3&gt;=IF(VRAGENLIJST!$F$124="",0,IFERROR(VLOOKUP(VRAGENLIJST!$F$124,dropdowns!$B$32:$F$41,5,FALSE),(VLOOKUP(VRAGENLIJST!$F$124,dropdowns!$C$32:$F$41,4,FALSE)))),I3&lt;IF(VRAGENLIJST!$F$124="",0,IFERROR(VLOOKUP(VRAGENLIJST!$F$124,dropdowns!$B$32:$F$41,5,FALSE),(VLOOKUP(VRAGENLIJST!$F$124,dropdowns!$C$32:$F$41,4,FALSE))))+IF(VRAGENLIJST!$F$118&gt;0,VRAGENLIJST!$F$118/VRAGENLIJST!$F$122,0)),VRAGENLIJST!$F$122,0)+IF(AND(Liquiditeit!I3&gt;=IF(VRAGENLIJST!$F$132="",0,IFERROR(VLOOKUP(VRAGENLIJST!$F$132,dropdowns!$B$32:$F$41,5,FALSE),(VLOOKUP(VRAGENLIJST!$F$132,dropdowns!$C$32:$F$41,4,FALSE)))),Liquiditeit!I3&lt;IF(VRAGENLIJST!$F$132="",0,IFERROR(VLOOKUP(VRAGENLIJST!$F$132,dropdowns!$B$32:$F$41,5,FALSE),(VLOOKUP(VRAGENLIJST!$F$132,dropdowns!$C$32:$F$41,4,FALSE))))+IF(VRAGENLIJST!$F$130&gt;0,VRAGENLIJST!$F$126/VRAGENLIJST!$F$130,0)),VRAGENLIJST!$F$130,0)</f>
        <v>0</v>
      </c>
      <c r="J31" s="329">
        <f>IF(AND(J3&gt;=IF(VRAGENLIJST!$F$124="",0,IFERROR(VLOOKUP(VRAGENLIJST!$F$124,dropdowns!$B$32:$F$41,5,FALSE),(VLOOKUP(VRAGENLIJST!$F$124,dropdowns!$C$32:$F$41,4,FALSE)))),J3&lt;IF(VRAGENLIJST!$F$124="",0,IFERROR(VLOOKUP(VRAGENLIJST!$F$124,dropdowns!$B$32:$F$41,5,FALSE),(VLOOKUP(VRAGENLIJST!$F$124,dropdowns!$C$32:$F$41,4,FALSE))))+IF(VRAGENLIJST!$F$118&gt;0,VRAGENLIJST!$F$118/VRAGENLIJST!$F$122,0)),VRAGENLIJST!$F$122,0)+IF(AND(Liquiditeit!J3&gt;=IF(VRAGENLIJST!$F$132="",0,IFERROR(VLOOKUP(VRAGENLIJST!$F$132,dropdowns!$B$32:$F$41,5,FALSE),(VLOOKUP(VRAGENLIJST!$F$132,dropdowns!$C$32:$F$41,4,FALSE)))),Liquiditeit!J3&lt;IF(VRAGENLIJST!$F$132="",0,IFERROR(VLOOKUP(VRAGENLIJST!$F$132,dropdowns!$B$32:$F$41,5,FALSE),(VLOOKUP(VRAGENLIJST!$F$132,dropdowns!$C$32:$F$41,4,FALSE))))+IF(VRAGENLIJST!$F$130&gt;0,VRAGENLIJST!$F$126/VRAGENLIJST!$F$130,0)),VRAGENLIJST!$F$130,0)</f>
        <v>0</v>
      </c>
      <c r="K31" s="329">
        <f>IF(AND(K3&gt;=IF(VRAGENLIJST!$F$124="",0,IFERROR(VLOOKUP(VRAGENLIJST!$F$124,dropdowns!$B$32:$F$41,5,FALSE),(VLOOKUP(VRAGENLIJST!$F$124,dropdowns!$C$32:$F$41,4,FALSE)))),K3&lt;IF(VRAGENLIJST!$F$124="",0,IFERROR(VLOOKUP(VRAGENLIJST!$F$124,dropdowns!$B$32:$F$41,5,FALSE),(VLOOKUP(VRAGENLIJST!$F$124,dropdowns!$C$32:$F$41,4,FALSE))))+IF(VRAGENLIJST!$F$118&gt;0,VRAGENLIJST!$F$118/VRAGENLIJST!$F$122,0)),VRAGENLIJST!$F$122,0)+IF(AND(Liquiditeit!K3&gt;=IF(VRAGENLIJST!$F$132="",0,IFERROR(VLOOKUP(VRAGENLIJST!$F$132,dropdowns!$B$32:$F$41,5,FALSE),(VLOOKUP(VRAGENLIJST!$F$132,dropdowns!$C$32:$F$41,4,FALSE)))),Liquiditeit!K3&lt;IF(VRAGENLIJST!$F$132="",0,IFERROR(VLOOKUP(VRAGENLIJST!$F$132,dropdowns!$B$32:$F$41,5,FALSE),(VLOOKUP(VRAGENLIJST!$F$132,dropdowns!$C$32:$F$41,4,FALSE))))+IF(VRAGENLIJST!$F$130&gt;0,VRAGENLIJST!$F$126/VRAGENLIJST!$F$130,0)),VRAGENLIJST!$F$130,0)</f>
        <v>0</v>
      </c>
      <c r="L31" s="329">
        <f>IF(AND(L3&gt;=IF(VRAGENLIJST!$F$124="",0,IFERROR(VLOOKUP(VRAGENLIJST!$F$124,dropdowns!$B$32:$F$41,5,FALSE),(VLOOKUP(VRAGENLIJST!$F$124,dropdowns!$C$32:$F$41,4,FALSE)))),L3&lt;IF(VRAGENLIJST!$F$124="",0,IFERROR(VLOOKUP(VRAGENLIJST!$F$124,dropdowns!$B$32:$F$41,5,FALSE),(VLOOKUP(VRAGENLIJST!$F$124,dropdowns!$C$32:$F$41,4,FALSE))))+IF(VRAGENLIJST!$F$118&gt;0,VRAGENLIJST!$F$118/VRAGENLIJST!$F$122,0)),VRAGENLIJST!$F$122,0)+IF(AND(Liquiditeit!L3&gt;=IF(VRAGENLIJST!$F$132="",0,IFERROR(VLOOKUP(VRAGENLIJST!$F$132,dropdowns!$B$32:$F$41,5,FALSE),(VLOOKUP(VRAGENLIJST!$F$132,dropdowns!$C$32:$F$41,4,FALSE)))),Liquiditeit!L3&lt;IF(VRAGENLIJST!$F$132="",0,IFERROR(VLOOKUP(VRAGENLIJST!$F$132,dropdowns!$B$32:$F$41,5,FALSE),(VLOOKUP(VRAGENLIJST!$F$132,dropdowns!$C$32:$F$41,4,FALSE))))+IF(VRAGENLIJST!$F$130&gt;0,VRAGENLIJST!$F$126/VRAGENLIJST!$F$130,0)),VRAGENLIJST!$F$130,0)</f>
        <v>0</v>
      </c>
      <c r="M31" s="329">
        <f>IF(AND(M3&gt;=IF(VRAGENLIJST!$F$124="",0,IFERROR(VLOOKUP(VRAGENLIJST!$F$124,dropdowns!$B$32:$F$41,5,FALSE),(VLOOKUP(VRAGENLIJST!$F$124,dropdowns!$C$32:$F$41,4,FALSE)))),M3&lt;IF(VRAGENLIJST!$F$124="",0,IFERROR(VLOOKUP(VRAGENLIJST!$F$124,dropdowns!$B$32:$F$41,5,FALSE),(VLOOKUP(VRAGENLIJST!$F$124,dropdowns!$C$32:$F$41,4,FALSE))))+IF(VRAGENLIJST!$F$118&gt;0,VRAGENLIJST!$F$118/VRAGENLIJST!$F$122,0)),VRAGENLIJST!$F$122,0)+IF(AND(Liquiditeit!M3&gt;=IF(VRAGENLIJST!$F$132="",0,IFERROR(VLOOKUP(VRAGENLIJST!$F$132,dropdowns!$B$32:$F$41,5,FALSE),(VLOOKUP(VRAGENLIJST!$F$132,dropdowns!$C$32:$F$41,4,FALSE)))),Liquiditeit!M3&lt;IF(VRAGENLIJST!$F$132="",0,IFERROR(VLOOKUP(VRAGENLIJST!$F$132,dropdowns!$B$32:$F$41,5,FALSE),(VLOOKUP(VRAGENLIJST!$F$132,dropdowns!$C$32:$F$41,4,FALSE))))+IF(VRAGENLIJST!$F$130&gt;0,VRAGENLIJST!$F$126/VRAGENLIJST!$F$130,0)),VRAGENLIJST!$F$130,0)</f>
        <v>0</v>
      </c>
      <c r="N31" s="329">
        <f>IF(AND(N3&gt;=IF(VRAGENLIJST!$F$124="",0,IFERROR(VLOOKUP(VRAGENLIJST!$F$124,dropdowns!$B$32:$F$41,5,FALSE),(VLOOKUP(VRAGENLIJST!$F$124,dropdowns!$C$32:$F$41,4,FALSE)))),N3&lt;IF(VRAGENLIJST!$F$124="",0,IFERROR(VLOOKUP(VRAGENLIJST!$F$124,dropdowns!$B$32:$F$41,5,FALSE),(VLOOKUP(VRAGENLIJST!$F$124,dropdowns!$C$32:$F$41,4,FALSE))))+IF(VRAGENLIJST!$F$118&gt;0,VRAGENLIJST!$F$118/VRAGENLIJST!$F$122,0)),VRAGENLIJST!$F$122,0)+IF(AND(Liquiditeit!N3&gt;=IF(VRAGENLIJST!$F$132="",0,IFERROR(VLOOKUP(VRAGENLIJST!$F$132,dropdowns!$B$32:$F$41,5,FALSE),(VLOOKUP(VRAGENLIJST!$F$132,dropdowns!$C$32:$F$41,4,FALSE)))),Liquiditeit!N3&lt;IF(VRAGENLIJST!$F$132="",0,IFERROR(VLOOKUP(VRAGENLIJST!$F$132,dropdowns!$B$32:$F$41,5,FALSE),(VLOOKUP(VRAGENLIJST!$F$132,dropdowns!$C$32:$F$41,4,FALSE))))+IF(VRAGENLIJST!$F$130&gt;0,VRAGENLIJST!$F$126/VRAGENLIJST!$F$130,0)),VRAGENLIJST!$F$130,0)</f>
        <v>0</v>
      </c>
      <c r="O31" s="329">
        <f>IF(AND(O3&gt;=IF(VRAGENLIJST!$F$124="",0,IFERROR(VLOOKUP(VRAGENLIJST!$F$124,dropdowns!$B$32:$F$41,5,FALSE),(VLOOKUP(VRAGENLIJST!$F$124,dropdowns!$C$32:$F$41,4,FALSE)))),O3&lt;IF(VRAGENLIJST!$F$124="",0,IFERROR(VLOOKUP(VRAGENLIJST!$F$124,dropdowns!$B$32:$F$41,5,FALSE),(VLOOKUP(VRAGENLIJST!$F$124,dropdowns!$C$32:$F$41,4,FALSE))))+IF(VRAGENLIJST!$F$118&gt;0,VRAGENLIJST!$F$118/VRAGENLIJST!$F$122,0)),VRAGENLIJST!$F$122,0)+IF(AND(Liquiditeit!O3&gt;=IF(VRAGENLIJST!$F$132="",0,IFERROR(VLOOKUP(VRAGENLIJST!$F$132,dropdowns!$B$32:$F$41,5,FALSE),(VLOOKUP(VRAGENLIJST!$F$132,dropdowns!$C$32:$F$41,4,FALSE)))),Liquiditeit!O3&lt;IF(VRAGENLIJST!$F$132="",0,IFERROR(VLOOKUP(VRAGENLIJST!$F$132,dropdowns!$B$32:$F$41,5,FALSE),(VLOOKUP(VRAGENLIJST!$F$132,dropdowns!$C$32:$F$41,4,FALSE))))+IF(VRAGENLIJST!$F$130&gt;0,VRAGENLIJST!$F$126/VRAGENLIJST!$F$130,0)),VRAGENLIJST!$F$130,0)</f>
        <v>0</v>
      </c>
      <c r="P31" s="331">
        <f>SUM(D31:O31)</f>
        <v>0</v>
      </c>
    </row>
    <row r="32" spans="2:21" ht="14.25" customHeight="1" x14ac:dyDescent="0.25">
      <c r="B32" s="328" t="str">
        <f>Vertaling!A230</f>
        <v xml:space="preserve"> Rente Qredits</v>
      </c>
      <c r="C32" s="330"/>
      <c r="D32" s="329">
        <f>'Qredits maandlasten'!C17</f>
        <v>0</v>
      </c>
      <c r="E32" s="329">
        <f>'Qredits maandlasten'!D17</f>
        <v>0</v>
      </c>
      <c r="F32" s="329">
        <f>'Qredits maandlasten'!E17</f>
        <v>0</v>
      </c>
      <c r="G32" s="329">
        <f>'Qredits maandlasten'!F17</f>
        <v>0</v>
      </c>
      <c r="H32" s="329">
        <f>'Qredits maandlasten'!G17</f>
        <v>0</v>
      </c>
      <c r="I32" s="329">
        <f>'Qredits maandlasten'!H17</f>
        <v>0</v>
      </c>
      <c r="J32" s="329">
        <f>'Qredits maandlasten'!I17</f>
        <v>0</v>
      </c>
      <c r="K32" s="329">
        <f>'Qredits maandlasten'!J17</f>
        <v>0</v>
      </c>
      <c r="L32" s="329">
        <f>'Qredits maandlasten'!K17</f>
        <v>0</v>
      </c>
      <c r="M32" s="329">
        <f>'Qredits maandlasten'!L17</f>
        <v>0</v>
      </c>
      <c r="N32" s="329">
        <f>'Qredits maandlasten'!M17</f>
        <v>0</v>
      </c>
      <c r="O32" s="329">
        <f>'Qredits maandlasten'!N17</f>
        <v>0</v>
      </c>
      <c r="P32" s="331">
        <f>SUM(D32:O32)</f>
        <v>0</v>
      </c>
    </row>
    <row r="33" spans="2:19" ht="14.25" customHeight="1" x14ac:dyDescent="0.25">
      <c r="B33" s="328" t="str">
        <f>Vertaling!A231</f>
        <v xml:space="preserve"> Aflossingen Qredits</v>
      </c>
      <c r="C33" s="330"/>
      <c r="D33" s="329">
        <f>'Qredits maandlasten'!C18</f>
        <v>0</v>
      </c>
      <c r="E33" s="329">
        <f>'Qredits maandlasten'!D18</f>
        <v>0</v>
      </c>
      <c r="F33" s="329">
        <f>'Qredits maandlasten'!E18</f>
        <v>0</v>
      </c>
      <c r="G33" s="329">
        <f>'Qredits maandlasten'!F18</f>
        <v>0</v>
      </c>
      <c r="H33" s="329">
        <f>'Qredits maandlasten'!G18</f>
        <v>0</v>
      </c>
      <c r="I33" s="329">
        <f>'Qredits maandlasten'!H18</f>
        <v>0</v>
      </c>
      <c r="J33" s="329">
        <f>'Qredits maandlasten'!I18</f>
        <v>0</v>
      </c>
      <c r="K33" s="329">
        <f>'Qredits maandlasten'!J18</f>
        <v>0</v>
      </c>
      <c r="L33" s="329">
        <f>'Qredits maandlasten'!K18</f>
        <v>0</v>
      </c>
      <c r="M33" s="329">
        <f>'Qredits maandlasten'!L18</f>
        <v>0</v>
      </c>
      <c r="N33" s="329">
        <f>'Qredits maandlasten'!M18</f>
        <v>0</v>
      </c>
      <c r="O33" s="329">
        <f>'Qredits maandlasten'!N18</f>
        <v>0</v>
      </c>
      <c r="P33" s="331">
        <f>SUM(D33:O33)</f>
        <v>0</v>
      </c>
    </row>
    <row r="34" spans="2:19" ht="14.25" customHeight="1" x14ac:dyDescent="0.25">
      <c r="B34" s="319" t="str">
        <f>IF(VRAGENLIJST!$D$4=dropdowns!$A$6,Vertaling!A232,Vertaling!A233)</f>
        <v xml:space="preserve"> Afdracht inkomstenbelasting</v>
      </c>
      <c r="C34" s="330"/>
      <c r="D34" s="330"/>
      <c r="E34" s="330"/>
      <c r="F34" s="329">
        <f>P34/4</f>
        <v>0</v>
      </c>
      <c r="G34" s="330"/>
      <c r="H34" s="330"/>
      <c r="I34" s="329">
        <f>P34/4</f>
        <v>0</v>
      </c>
      <c r="J34" s="330"/>
      <c r="K34" s="330"/>
      <c r="L34" s="329">
        <f>P34/4</f>
        <v>0</v>
      </c>
      <c r="M34" s="330"/>
      <c r="N34" s="330"/>
      <c r="O34" s="329">
        <f>P34/4</f>
        <v>0</v>
      </c>
      <c r="P34" s="331">
        <f>Exploitatie!C32</f>
        <v>0</v>
      </c>
    </row>
    <row r="35" spans="2:19" ht="14.25" customHeight="1" x14ac:dyDescent="0.25">
      <c r="B35" s="312" t="str">
        <f>VRAGENLIJST!$D$10</f>
        <v/>
      </c>
      <c r="C35" s="330"/>
      <c r="D35" s="330"/>
      <c r="E35" s="330"/>
      <c r="F35" s="330"/>
      <c r="G35" s="330"/>
      <c r="H35" s="330"/>
      <c r="I35" s="330"/>
      <c r="J35" s="330"/>
      <c r="K35" s="330"/>
      <c r="L35" s="330"/>
      <c r="M35" s="330"/>
      <c r="N35" s="330"/>
      <c r="O35" s="330"/>
      <c r="P35" s="331"/>
    </row>
    <row r="36" spans="2:19" ht="14.25" customHeight="1" x14ac:dyDescent="0.25">
      <c r="B36" s="328" t="str">
        <f>IF(VRAGENLIJST!$D$4=dropdowns!$A$6,Vertaling!A232,Vertaling!A233)</f>
        <v xml:space="preserve"> Afdracht inkomstenbelasting</v>
      </c>
      <c r="C36" s="330"/>
      <c r="D36" s="329">
        <f t="shared" ref="D36:O36" ca="1" si="5">IF(SUM($P$11:$P$12)=0,0,$P36*(SUM(D11:D12)/SUM($P$11:$P$12)))</f>
        <v>0</v>
      </c>
      <c r="E36" s="329">
        <f t="shared" ca="1" si="5"/>
        <v>0</v>
      </c>
      <c r="F36" s="329">
        <f t="shared" ca="1" si="5"/>
        <v>0</v>
      </c>
      <c r="G36" s="329">
        <f t="shared" ca="1" si="5"/>
        <v>0</v>
      </c>
      <c r="H36" s="329">
        <f t="shared" ca="1" si="5"/>
        <v>0</v>
      </c>
      <c r="I36" s="329">
        <f t="shared" ca="1" si="5"/>
        <v>0</v>
      </c>
      <c r="J36" s="329">
        <f t="shared" ca="1" si="5"/>
        <v>0</v>
      </c>
      <c r="K36" s="329">
        <f t="shared" ca="1" si="5"/>
        <v>0</v>
      </c>
      <c r="L36" s="329">
        <f t="shared" ca="1" si="5"/>
        <v>0</v>
      </c>
      <c r="M36" s="329">
        <f t="shared" ca="1" si="5"/>
        <v>0</v>
      </c>
      <c r="N36" s="329">
        <f t="shared" ca="1" si="5"/>
        <v>0</v>
      </c>
      <c r="O36" s="329">
        <f t="shared" ca="1" si="5"/>
        <v>0</v>
      </c>
      <c r="P36" s="331">
        <f>Exploitatie!$C$36</f>
        <v>0</v>
      </c>
    </row>
    <row r="37" spans="2:19" ht="14.25" customHeight="1" x14ac:dyDescent="0.25">
      <c r="B37" s="328" t="str">
        <f>IF(VRAGENLIJST!$D$4=dropdowns!$A$6,Vertaling!A234,Vertaling!A235)</f>
        <v xml:space="preserve"> Privéonttrekking</v>
      </c>
      <c r="C37" s="330"/>
      <c r="D37" s="329">
        <f>IF(OR(VRAGENLIJST!$D$4=dropdowns!$B$6,VRAGENLIJST!$D$4=dropdowns!$C$6),0,IF(AND(OR(VRAGENLIJST!$D$4=dropdowns!$B$4,VRAGENLIJST!$D$4=dropdowns!$C$4),Liquiditeit!D3&lt;=IF(VRAGENLIJST!$D$21="",0,IFERROR(VLOOKUP(VRAGENLIJST!$D$21,dropdowns!$B$14:$F$21,5,FALSE),VLOOKUP(VRAGENLIJST!$D$21,dropdowns!$C$14:$F$21,4,FALSE)))),0,IF(AND(OR(VRAGENLIJST!$D$4=dropdowns!$B$4,VRAGENLIJST!$D$4=dropdowns!$C$4),Liquiditeit!D3&gt;IF(VRAGENLIJST!$D$21="",0,IFERROR(VLOOKUP(VRAGENLIJST!$D$21,dropdowns!$B$14:$F$21,5,FALSE),VLOOKUP(VRAGENLIJST!$D$21,dropdowns!$C$14:$F$21,4,FALSE)))),0,IF(AND(OR(VRAGENLIJST!$D$4=dropdowns!$B$5,VRAGENLIJST!$D$4=dropdowns!$C$5),Liquiditeit!D3&lt;=IF(VRAGENLIJST!$D$21="",0,IFERROR(VLOOKUP(VRAGENLIJST!$D$21,dropdowns!$B$14:$F$21,5,FALSE),VLOOKUP(VRAGENLIJST!$D$21,dropdowns!$C$14:$F$21,4,FALSE)))),0,IF(AND(OR(VRAGENLIJST!$D$4=dropdowns!$B$5,VRAGENLIJST!$D$4=dropdowns!$C$5),Liquiditeit!D3&gt;IF(VRAGENLIJST!$D$21="",0,IFERROR(VLOOKUP(VRAGENLIJST!$D$21,dropdowns!$B$14:$F$21,5,FALSE),VLOOKUP(VRAGENLIJST!$D$21,dropdowns!$C$14:$F$21,4,FALSE)))),0,0)))))+IF(AND(OR(VRAGENLIJST!$D$4=dropdowns!$B$5,VRAGENLIJST!$D$4=dropdowns!$C$5),Liquiditeit!D3&lt;=IF(VRAGENLIJST!$D$21="",0,IFERROR(VLOOKUP(VRAGENLIJST!$D$21,dropdowns!$B$14:$F$21,5,FALSE),VLOOKUP(VRAGENLIJST!$D$21,dropdowns!$C$14:$F$21,4,FALSE)))),VRAGENLIJST!$D$66,IF(AND(OR(VRAGENLIJST!$D$4=dropdowns!$B$5,VRAGENLIJST!$D$4=dropdowns!$C$5),Liquiditeit!D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E37" s="329">
        <f>IF(OR(VRAGENLIJST!$D$4=dropdowns!$B$6,VRAGENLIJST!$D$4=dropdowns!$C$6),0,IF(AND(OR(VRAGENLIJST!$D$4=dropdowns!$B$4,VRAGENLIJST!$D$4=dropdowns!$C$4),Liquiditeit!E3&lt;=IF(VRAGENLIJST!$D$21="",0,IFERROR(VLOOKUP(VRAGENLIJST!$D$21,dropdowns!$B$14:$F$21,5,FALSE),VLOOKUP(VRAGENLIJST!$D$21,dropdowns!$C$14:$F$21,4,FALSE)))),0,IF(AND(OR(VRAGENLIJST!$D$4=dropdowns!$B$4,VRAGENLIJST!$D$4=dropdowns!$C$4),Liquiditeit!E3&gt;IF(VRAGENLIJST!$D$21="",0,IFERROR(VLOOKUP(VRAGENLIJST!$D$21,dropdowns!$B$14:$F$21,5,FALSE),VLOOKUP(VRAGENLIJST!$D$21,dropdowns!$C$14:$F$21,4,FALSE)))),0,IF(AND(OR(VRAGENLIJST!$D$4=dropdowns!$B$5,VRAGENLIJST!$D$4=dropdowns!$C$5),Liquiditeit!E3&lt;=IF(VRAGENLIJST!$D$21="",0,IFERROR(VLOOKUP(VRAGENLIJST!$D$21,dropdowns!$B$14:$F$21,5,FALSE),VLOOKUP(VRAGENLIJST!$D$21,dropdowns!$C$14:$F$21,4,FALSE)))),0,IF(AND(OR(VRAGENLIJST!$D$4=dropdowns!$B$5,VRAGENLIJST!$D$4=dropdowns!$C$5),Liquiditeit!E3&gt;IF(VRAGENLIJST!$D$21="",0,IFERROR(VLOOKUP(VRAGENLIJST!$D$21,dropdowns!$B$14:$F$21,5,FALSE),VLOOKUP(VRAGENLIJST!$D$21,dropdowns!$C$14:$F$21,4,FALSE)))),0,0)))))+IF(AND(OR(VRAGENLIJST!$D$4=dropdowns!$B$5,VRAGENLIJST!$D$4=dropdowns!$C$5),Liquiditeit!E3&lt;=IF(VRAGENLIJST!$D$21="",0,IFERROR(VLOOKUP(VRAGENLIJST!$D$21,dropdowns!$B$14:$F$21,5,FALSE),VLOOKUP(VRAGENLIJST!$D$21,dropdowns!$C$14:$F$21,4,FALSE)))),VRAGENLIJST!$D$66,IF(AND(OR(VRAGENLIJST!$D$4=dropdowns!$B$5,VRAGENLIJST!$D$4=dropdowns!$C$5),Liquiditeit!E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F37" s="329">
        <f>IF(OR(VRAGENLIJST!$D$4=dropdowns!$B$6,VRAGENLIJST!$D$4=dropdowns!$C$6),0,IF(AND(OR(VRAGENLIJST!$D$4=dropdowns!$B$4,VRAGENLIJST!$D$4=dropdowns!$C$4),Liquiditeit!F3&lt;=IF(VRAGENLIJST!$D$21="",0,IFERROR(VLOOKUP(VRAGENLIJST!$D$21,dropdowns!$B$14:$F$21,5,FALSE),VLOOKUP(VRAGENLIJST!$D$21,dropdowns!$C$14:$F$21,4,FALSE)))),0,IF(AND(OR(VRAGENLIJST!$D$4=dropdowns!$B$4,VRAGENLIJST!$D$4=dropdowns!$C$4),Liquiditeit!F3&gt;IF(VRAGENLIJST!$D$21="",0,IFERROR(VLOOKUP(VRAGENLIJST!$D$21,dropdowns!$B$14:$F$21,5,FALSE),VLOOKUP(VRAGENLIJST!$D$21,dropdowns!$C$14:$F$21,4,FALSE)))),0,IF(AND(OR(VRAGENLIJST!$D$4=dropdowns!$B$5,VRAGENLIJST!$D$4=dropdowns!$C$5),Liquiditeit!F3&lt;=IF(VRAGENLIJST!$D$21="",0,IFERROR(VLOOKUP(VRAGENLIJST!$D$21,dropdowns!$B$14:$F$21,5,FALSE),VLOOKUP(VRAGENLIJST!$D$21,dropdowns!$C$14:$F$21,4,FALSE)))),0,IF(AND(OR(VRAGENLIJST!$D$4=dropdowns!$B$5,VRAGENLIJST!$D$4=dropdowns!$C$5),Liquiditeit!F3&gt;IF(VRAGENLIJST!$D$21="",0,IFERROR(VLOOKUP(VRAGENLIJST!$D$21,dropdowns!$B$14:$F$21,5,FALSE),VLOOKUP(VRAGENLIJST!$D$21,dropdowns!$C$14:$F$21,4,FALSE)))),0,0)))))+IF(AND(OR(VRAGENLIJST!$D$4=dropdowns!$B$5,VRAGENLIJST!$D$4=dropdowns!$C$5),Liquiditeit!F3&lt;=IF(VRAGENLIJST!$D$21="",0,IFERROR(VLOOKUP(VRAGENLIJST!$D$21,dropdowns!$B$14:$F$21,5,FALSE),VLOOKUP(VRAGENLIJST!$D$21,dropdowns!$C$14:$F$21,4,FALSE)))),VRAGENLIJST!$D$66,IF(AND(OR(VRAGENLIJST!$D$4=dropdowns!$B$5,VRAGENLIJST!$D$4=dropdowns!$C$5),Liquiditeit!F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G37" s="329">
        <f>IF(OR(VRAGENLIJST!$D$4=dropdowns!$B$6,VRAGENLIJST!$D$4=dropdowns!$C$6),0,IF(AND(OR(VRAGENLIJST!$D$4=dropdowns!$B$4,VRAGENLIJST!$D$4=dropdowns!$C$4),Liquiditeit!G3&lt;=IF(VRAGENLIJST!$D$21="",0,IFERROR(VLOOKUP(VRAGENLIJST!$D$21,dropdowns!$B$14:$F$21,5,FALSE),VLOOKUP(VRAGENLIJST!$D$21,dropdowns!$C$14:$F$21,4,FALSE)))),0,IF(AND(OR(VRAGENLIJST!$D$4=dropdowns!$B$4,VRAGENLIJST!$D$4=dropdowns!$C$4),Liquiditeit!G3&gt;IF(VRAGENLIJST!$D$21="",0,IFERROR(VLOOKUP(VRAGENLIJST!$D$21,dropdowns!$B$14:$F$21,5,FALSE),VLOOKUP(VRAGENLIJST!$D$21,dropdowns!$C$14:$F$21,4,FALSE)))),0,IF(AND(OR(VRAGENLIJST!$D$4=dropdowns!$B$5,VRAGENLIJST!$D$4=dropdowns!$C$5),Liquiditeit!G3&lt;=IF(VRAGENLIJST!$D$21="",0,IFERROR(VLOOKUP(VRAGENLIJST!$D$21,dropdowns!$B$14:$F$21,5,FALSE),VLOOKUP(VRAGENLIJST!$D$21,dropdowns!$C$14:$F$21,4,FALSE)))),0,IF(AND(OR(VRAGENLIJST!$D$4=dropdowns!$B$5,VRAGENLIJST!$D$4=dropdowns!$C$5),Liquiditeit!G3&gt;IF(VRAGENLIJST!$D$21="",0,IFERROR(VLOOKUP(VRAGENLIJST!$D$21,dropdowns!$B$14:$F$21,5,FALSE),VLOOKUP(VRAGENLIJST!$D$21,dropdowns!$C$14:$F$21,4,FALSE)))),0,0)))))+IF(AND(OR(VRAGENLIJST!$D$4=dropdowns!$B$5,VRAGENLIJST!$D$4=dropdowns!$C$5),Liquiditeit!G3&lt;=IF(VRAGENLIJST!$D$21="",0,IFERROR(VLOOKUP(VRAGENLIJST!$D$21,dropdowns!$B$14:$F$21,5,FALSE),VLOOKUP(VRAGENLIJST!$D$21,dropdowns!$C$14:$F$21,4,FALSE)))),VRAGENLIJST!$D$66,IF(AND(OR(VRAGENLIJST!$D$4=dropdowns!$B$5,VRAGENLIJST!$D$4=dropdowns!$C$5),Liquiditeit!G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H37" s="329">
        <f>IF(OR(VRAGENLIJST!$D$4=dropdowns!$B$6,VRAGENLIJST!$D$4=dropdowns!$C$6),0,IF(AND(OR(VRAGENLIJST!$D$4=dropdowns!$B$4,VRAGENLIJST!$D$4=dropdowns!$C$4),Liquiditeit!H3&lt;=IF(VRAGENLIJST!$D$21="",0,IFERROR(VLOOKUP(VRAGENLIJST!$D$21,dropdowns!$B$14:$F$21,5,FALSE),VLOOKUP(VRAGENLIJST!$D$21,dropdowns!$C$14:$F$21,4,FALSE)))),0,IF(AND(OR(VRAGENLIJST!$D$4=dropdowns!$B$4,VRAGENLIJST!$D$4=dropdowns!$C$4),Liquiditeit!H3&gt;IF(VRAGENLIJST!$D$21="",0,IFERROR(VLOOKUP(VRAGENLIJST!$D$21,dropdowns!$B$14:$F$21,5,FALSE),VLOOKUP(VRAGENLIJST!$D$21,dropdowns!$C$14:$F$21,4,FALSE)))),0,IF(AND(OR(VRAGENLIJST!$D$4=dropdowns!$B$5,VRAGENLIJST!$D$4=dropdowns!$C$5),Liquiditeit!H3&lt;=IF(VRAGENLIJST!$D$21="",0,IFERROR(VLOOKUP(VRAGENLIJST!$D$21,dropdowns!$B$14:$F$21,5,FALSE),VLOOKUP(VRAGENLIJST!$D$21,dropdowns!$C$14:$F$21,4,FALSE)))),0,IF(AND(OR(VRAGENLIJST!$D$4=dropdowns!$B$5,VRAGENLIJST!$D$4=dropdowns!$C$5),Liquiditeit!H3&gt;IF(VRAGENLIJST!$D$21="",0,IFERROR(VLOOKUP(VRAGENLIJST!$D$21,dropdowns!$B$14:$F$21,5,FALSE),VLOOKUP(VRAGENLIJST!$D$21,dropdowns!$C$14:$F$21,4,FALSE)))),0,0)))))+IF(AND(OR(VRAGENLIJST!$D$4=dropdowns!$B$5,VRAGENLIJST!$D$4=dropdowns!$C$5),Liquiditeit!H3&lt;=IF(VRAGENLIJST!$D$21="",0,IFERROR(VLOOKUP(VRAGENLIJST!$D$21,dropdowns!$B$14:$F$21,5,FALSE),VLOOKUP(VRAGENLIJST!$D$21,dropdowns!$C$14:$F$21,4,FALSE)))),VRAGENLIJST!$D$66,IF(AND(OR(VRAGENLIJST!$D$4=dropdowns!$B$5,VRAGENLIJST!$D$4=dropdowns!$C$5),Liquiditeit!H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I37" s="329">
        <f>IF(OR(VRAGENLIJST!$D$4=dropdowns!$B$6,VRAGENLIJST!$D$4=dropdowns!$C$6),0,IF(AND(OR(VRAGENLIJST!$D$4=dropdowns!$B$4,VRAGENLIJST!$D$4=dropdowns!$C$4),Liquiditeit!I3&lt;=IF(VRAGENLIJST!$D$21="",0,IFERROR(VLOOKUP(VRAGENLIJST!$D$21,dropdowns!$B$14:$F$21,5,FALSE),VLOOKUP(VRAGENLIJST!$D$21,dropdowns!$C$14:$F$21,4,FALSE)))),0,IF(AND(OR(VRAGENLIJST!$D$4=dropdowns!$B$4,VRAGENLIJST!$D$4=dropdowns!$C$4),Liquiditeit!I3&gt;IF(VRAGENLIJST!$D$21="",0,IFERROR(VLOOKUP(VRAGENLIJST!$D$21,dropdowns!$B$14:$F$21,5,FALSE),VLOOKUP(VRAGENLIJST!$D$21,dropdowns!$C$14:$F$21,4,FALSE)))),0,IF(AND(OR(VRAGENLIJST!$D$4=dropdowns!$B$5,VRAGENLIJST!$D$4=dropdowns!$C$5),Liquiditeit!I3&lt;=IF(VRAGENLIJST!$D$21="",0,IFERROR(VLOOKUP(VRAGENLIJST!$D$21,dropdowns!$B$14:$F$21,5,FALSE),VLOOKUP(VRAGENLIJST!$D$21,dropdowns!$C$14:$F$21,4,FALSE)))),0,IF(AND(OR(VRAGENLIJST!$D$4=dropdowns!$B$5,VRAGENLIJST!$D$4=dropdowns!$C$5),Liquiditeit!I3&gt;IF(VRAGENLIJST!$D$21="",0,IFERROR(VLOOKUP(VRAGENLIJST!$D$21,dropdowns!$B$14:$F$21,5,FALSE),VLOOKUP(VRAGENLIJST!$D$21,dropdowns!$C$14:$F$21,4,FALSE)))),0,0)))))+IF(AND(OR(VRAGENLIJST!$D$4=dropdowns!$B$5,VRAGENLIJST!$D$4=dropdowns!$C$5),Liquiditeit!I3&lt;=IF(VRAGENLIJST!$D$21="",0,IFERROR(VLOOKUP(VRAGENLIJST!$D$21,dropdowns!$B$14:$F$21,5,FALSE),VLOOKUP(VRAGENLIJST!$D$21,dropdowns!$C$14:$F$21,4,FALSE)))),VRAGENLIJST!$D$66,IF(AND(OR(VRAGENLIJST!$D$4=dropdowns!$B$5,VRAGENLIJST!$D$4=dropdowns!$C$5),Liquiditeit!I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J37" s="329">
        <f>IF(OR(VRAGENLIJST!$D$4=dropdowns!$B$6,VRAGENLIJST!$D$4=dropdowns!$C$6),0,IF(AND(OR(VRAGENLIJST!$D$4=dropdowns!$B$4,VRAGENLIJST!$D$4=dropdowns!$C$4),Liquiditeit!J3&lt;=IF(VRAGENLIJST!$D$21="",0,IFERROR(VLOOKUP(VRAGENLIJST!$D$21,dropdowns!$B$14:$F$21,5,FALSE),VLOOKUP(VRAGENLIJST!$D$21,dropdowns!$C$14:$F$21,4,FALSE)))),0,IF(AND(OR(VRAGENLIJST!$D$4=dropdowns!$B$4,VRAGENLIJST!$D$4=dropdowns!$C$4),Liquiditeit!J3&gt;IF(VRAGENLIJST!$D$21="",0,IFERROR(VLOOKUP(VRAGENLIJST!$D$21,dropdowns!$B$14:$F$21,5,FALSE),VLOOKUP(VRAGENLIJST!$D$21,dropdowns!$C$14:$F$21,4,FALSE)))),0,IF(AND(OR(VRAGENLIJST!$D$4=dropdowns!$B$5,VRAGENLIJST!$D$4=dropdowns!$C$5),Liquiditeit!J3&lt;=IF(VRAGENLIJST!$D$21="",0,IFERROR(VLOOKUP(VRAGENLIJST!$D$21,dropdowns!$B$14:$F$21,5,FALSE),VLOOKUP(VRAGENLIJST!$D$21,dropdowns!$C$14:$F$21,4,FALSE)))),0,IF(AND(OR(VRAGENLIJST!$D$4=dropdowns!$B$5,VRAGENLIJST!$D$4=dropdowns!$C$5),Liquiditeit!J3&gt;IF(VRAGENLIJST!$D$21="",0,IFERROR(VLOOKUP(VRAGENLIJST!$D$21,dropdowns!$B$14:$F$21,5,FALSE),VLOOKUP(VRAGENLIJST!$D$21,dropdowns!$C$14:$F$21,4,FALSE)))),0,0)))))+IF(AND(OR(VRAGENLIJST!$D$4=dropdowns!$B$5,VRAGENLIJST!$D$4=dropdowns!$C$5),Liquiditeit!J3&lt;=IF(VRAGENLIJST!$D$21="",0,IFERROR(VLOOKUP(VRAGENLIJST!$D$21,dropdowns!$B$14:$F$21,5,FALSE),VLOOKUP(VRAGENLIJST!$D$21,dropdowns!$C$14:$F$21,4,FALSE)))),VRAGENLIJST!$D$66,IF(AND(OR(VRAGENLIJST!$D$4=dropdowns!$B$5,VRAGENLIJST!$D$4=dropdowns!$C$5),Liquiditeit!J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K37" s="329">
        <f>IF(OR(VRAGENLIJST!$D$4=dropdowns!$B$6,VRAGENLIJST!$D$4=dropdowns!$C$6),0,IF(AND(OR(VRAGENLIJST!$D$4=dropdowns!$B$4,VRAGENLIJST!$D$4=dropdowns!$C$4),Liquiditeit!K3&lt;=IF(VRAGENLIJST!$D$21="",0,IFERROR(VLOOKUP(VRAGENLIJST!$D$21,dropdowns!$B$14:$F$21,5,FALSE),VLOOKUP(VRAGENLIJST!$D$21,dropdowns!$C$14:$F$21,4,FALSE)))),0,IF(AND(OR(VRAGENLIJST!$D$4=dropdowns!$B$4,VRAGENLIJST!$D$4=dropdowns!$C$4),Liquiditeit!K3&gt;IF(VRAGENLIJST!$D$21="",0,IFERROR(VLOOKUP(VRAGENLIJST!$D$21,dropdowns!$B$14:$F$21,5,FALSE),VLOOKUP(VRAGENLIJST!$D$21,dropdowns!$C$14:$F$21,4,FALSE)))),0,IF(AND(OR(VRAGENLIJST!$D$4=dropdowns!$B$5,VRAGENLIJST!$D$4=dropdowns!$C$5),Liquiditeit!K3&lt;=IF(VRAGENLIJST!$D$21="",0,IFERROR(VLOOKUP(VRAGENLIJST!$D$21,dropdowns!$B$14:$F$21,5,FALSE),VLOOKUP(VRAGENLIJST!$D$21,dropdowns!$C$14:$F$21,4,FALSE)))),0,IF(AND(OR(VRAGENLIJST!$D$4=dropdowns!$B$5,VRAGENLIJST!$D$4=dropdowns!$C$5),Liquiditeit!K3&gt;IF(VRAGENLIJST!$D$21="",0,IFERROR(VLOOKUP(VRAGENLIJST!$D$21,dropdowns!$B$14:$F$21,5,FALSE),VLOOKUP(VRAGENLIJST!$D$21,dropdowns!$C$14:$F$21,4,FALSE)))),0,0)))))+IF(AND(OR(VRAGENLIJST!$D$4=dropdowns!$B$5,VRAGENLIJST!$D$4=dropdowns!$C$5),Liquiditeit!K3&lt;=IF(VRAGENLIJST!$D$21="",0,IFERROR(VLOOKUP(VRAGENLIJST!$D$21,dropdowns!$B$14:$F$21,5,FALSE),VLOOKUP(VRAGENLIJST!$D$21,dropdowns!$C$14:$F$21,4,FALSE)))),VRAGENLIJST!$D$66,IF(AND(OR(VRAGENLIJST!$D$4=dropdowns!$B$5,VRAGENLIJST!$D$4=dropdowns!$C$5),Liquiditeit!K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L37" s="329">
        <f>IF(OR(VRAGENLIJST!$D$4=dropdowns!$B$6,VRAGENLIJST!$D$4=dropdowns!$C$6),0,IF(AND(OR(VRAGENLIJST!$D$4=dropdowns!$B$4,VRAGENLIJST!$D$4=dropdowns!$C$4),Liquiditeit!L3&lt;=IF(VRAGENLIJST!$D$21="",0,IFERROR(VLOOKUP(VRAGENLIJST!$D$21,dropdowns!$B$14:$F$21,5,FALSE),VLOOKUP(VRAGENLIJST!$D$21,dropdowns!$C$14:$F$21,4,FALSE)))),0,IF(AND(OR(VRAGENLIJST!$D$4=dropdowns!$B$4,VRAGENLIJST!$D$4=dropdowns!$C$4),Liquiditeit!L3&gt;IF(VRAGENLIJST!$D$21="",0,IFERROR(VLOOKUP(VRAGENLIJST!$D$21,dropdowns!$B$14:$F$21,5,FALSE),VLOOKUP(VRAGENLIJST!$D$21,dropdowns!$C$14:$F$21,4,FALSE)))),0,IF(AND(OR(VRAGENLIJST!$D$4=dropdowns!$B$5,VRAGENLIJST!$D$4=dropdowns!$C$5),Liquiditeit!L3&lt;=IF(VRAGENLIJST!$D$21="",0,IFERROR(VLOOKUP(VRAGENLIJST!$D$21,dropdowns!$B$14:$F$21,5,FALSE),VLOOKUP(VRAGENLIJST!$D$21,dropdowns!$C$14:$F$21,4,FALSE)))),0,IF(AND(OR(VRAGENLIJST!$D$4=dropdowns!$B$5,VRAGENLIJST!$D$4=dropdowns!$C$5),Liquiditeit!L3&gt;IF(VRAGENLIJST!$D$21="",0,IFERROR(VLOOKUP(VRAGENLIJST!$D$21,dropdowns!$B$14:$F$21,5,FALSE),VLOOKUP(VRAGENLIJST!$D$21,dropdowns!$C$14:$F$21,4,FALSE)))),0,0)))))+IF(AND(OR(VRAGENLIJST!$D$4=dropdowns!$B$5,VRAGENLIJST!$D$4=dropdowns!$C$5),Liquiditeit!L3&lt;=IF(VRAGENLIJST!$D$21="",0,IFERROR(VLOOKUP(VRAGENLIJST!$D$21,dropdowns!$B$14:$F$21,5,FALSE),VLOOKUP(VRAGENLIJST!$D$21,dropdowns!$C$14:$F$21,4,FALSE)))),VRAGENLIJST!$D$66,IF(AND(OR(VRAGENLIJST!$D$4=dropdowns!$B$5,VRAGENLIJST!$D$4=dropdowns!$C$5),Liquiditeit!L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M37" s="329">
        <f>IF(OR(VRAGENLIJST!$D$4=dropdowns!$B$6,VRAGENLIJST!$D$4=dropdowns!$C$6),0,IF(AND(OR(VRAGENLIJST!$D$4=dropdowns!$B$4,VRAGENLIJST!$D$4=dropdowns!$C$4),Liquiditeit!M3&lt;=IF(VRAGENLIJST!$D$21="",0,IFERROR(VLOOKUP(VRAGENLIJST!$D$21,dropdowns!$B$14:$F$21,5,FALSE),VLOOKUP(VRAGENLIJST!$D$21,dropdowns!$C$14:$F$21,4,FALSE)))),0,IF(AND(OR(VRAGENLIJST!$D$4=dropdowns!$B$4,VRAGENLIJST!$D$4=dropdowns!$C$4),Liquiditeit!M3&gt;IF(VRAGENLIJST!$D$21="",0,IFERROR(VLOOKUP(VRAGENLIJST!$D$21,dropdowns!$B$14:$F$21,5,FALSE),VLOOKUP(VRAGENLIJST!$D$21,dropdowns!$C$14:$F$21,4,FALSE)))),0,IF(AND(OR(VRAGENLIJST!$D$4=dropdowns!$B$5,VRAGENLIJST!$D$4=dropdowns!$C$5),Liquiditeit!M3&lt;=IF(VRAGENLIJST!$D$21="",0,IFERROR(VLOOKUP(VRAGENLIJST!$D$21,dropdowns!$B$14:$F$21,5,FALSE),VLOOKUP(VRAGENLIJST!$D$21,dropdowns!$C$14:$F$21,4,FALSE)))),0,IF(AND(OR(VRAGENLIJST!$D$4=dropdowns!$B$5,VRAGENLIJST!$D$4=dropdowns!$C$5),Liquiditeit!M3&gt;IF(VRAGENLIJST!$D$21="",0,IFERROR(VLOOKUP(VRAGENLIJST!$D$21,dropdowns!$B$14:$F$21,5,FALSE),VLOOKUP(VRAGENLIJST!$D$21,dropdowns!$C$14:$F$21,4,FALSE)))),0,0)))))+IF(AND(OR(VRAGENLIJST!$D$4=dropdowns!$B$5,VRAGENLIJST!$D$4=dropdowns!$C$5),Liquiditeit!M3&lt;=IF(VRAGENLIJST!$D$21="",0,IFERROR(VLOOKUP(VRAGENLIJST!$D$21,dropdowns!$B$14:$F$21,5,FALSE),VLOOKUP(VRAGENLIJST!$D$21,dropdowns!$C$14:$F$21,4,FALSE)))),VRAGENLIJST!$D$66,IF(AND(OR(VRAGENLIJST!$D$4=dropdowns!$B$5,VRAGENLIJST!$D$4=dropdowns!$C$5),Liquiditeit!M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N37" s="329">
        <f>IF(OR(VRAGENLIJST!$D$4=dropdowns!$B$6,VRAGENLIJST!$D$4=dropdowns!$C$6),0,IF(AND(OR(VRAGENLIJST!$D$4=dropdowns!$B$4,VRAGENLIJST!$D$4=dropdowns!$C$4),Liquiditeit!N3&lt;=IF(VRAGENLIJST!$D$21="",0,IFERROR(VLOOKUP(VRAGENLIJST!$D$21,dropdowns!$B$14:$F$21,5,FALSE),VLOOKUP(VRAGENLIJST!$D$21,dropdowns!$C$14:$F$21,4,FALSE)))),0,IF(AND(OR(VRAGENLIJST!$D$4=dropdowns!$B$4,VRAGENLIJST!$D$4=dropdowns!$C$4),Liquiditeit!N3&gt;IF(VRAGENLIJST!$D$21="",0,IFERROR(VLOOKUP(VRAGENLIJST!$D$21,dropdowns!$B$14:$F$21,5,FALSE),VLOOKUP(VRAGENLIJST!$D$21,dropdowns!$C$14:$F$21,4,FALSE)))),0,IF(AND(OR(VRAGENLIJST!$D$4=dropdowns!$B$5,VRAGENLIJST!$D$4=dropdowns!$C$5),Liquiditeit!N3&lt;=IF(VRAGENLIJST!$D$21="",0,IFERROR(VLOOKUP(VRAGENLIJST!$D$21,dropdowns!$B$14:$F$21,5,FALSE),VLOOKUP(VRAGENLIJST!$D$21,dropdowns!$C$14:$F$21,4,FALSE)))),0,IF(AND(OR(VRAGENLIJST!$D$4=dropdowns!$B$5,VRAGENLIJST!$D$4=dropdowns!$C$5),Liquiditeit!N3&gt;IF(VRAGENLIJST!$D$21="",0,IFERROR(VLOOKUP(VRAGENLIJST!$D$21,dropdowns!$B$14:$F$21,5,FALSE),VLOOKUP(VRAGENLIJST!$D$21,dropdowns!$C$14:$F$21,4,FALSE)))),0,0)))))+IF(AND(OR(VRAGENLIJST!$D$4=dropdowns!$B$5,VRAGENLIJST!$D$4=dropdowns!$C$5),Liquiditeit!N3&lt;=IF(VRAGENLIJST!$D$21="",0,IFERROR(VLOOKUP(VRAGENLIJST!$D$21,dropdowns!$B$14:$F$21,5,FALSE),VLOOKUP(VRAGENLIJST!$D$21,dropdowns!$C$14:$F$21,4,FALSE)))),VRAGENLIJST!$D$66,IF(AND(OR(VRAGENLIJST!$D$4=dropdowns!$B$5,VRAGENLIJST!$D$4=dropdowns!$C$5),Liquiditeit!N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O37" s="329">
        <f>IF(OR(VRAGENLIJST!$D$4=dropdowns!$B$6,VRAGENLIJST!$D$4=dropdowns!$C$6),0,IF(AND(OR(VRAGENLIJST!$D$4=dropdowns!$B$4,VRAGENLIJST!$D$4=dropdowns!$C$4),Liquiditeit!O3&lt;=IF(VRAGENLIJST!$D$21="",0,IFERROR(VLOOKUP(VRAGENLIJST!$D$21,dropdowns!$B$14:$F$21,5,FALSE),VLOOKUP(VRAGENLIJST!$D$21,dropdowns!$C$14:$F$21,4,FALSE)))),0,IF(AND(OR(VRAGENLIJST!$D$4=dropdowns!$B$4,VRAGENLIJST!$D$4=dropdowns!$C$4),Liquiditeit!O3&gt;IF(VRAGENLIJST!$D$21="",0,IFERROR(VLOOKUP(VRAGENLIJST!$D$21,dropdowns!$B$14:$F$21,5,FALSE),VLOOKUP(VRAGENLIJST!$D$21,dropdowns!$C$14:$F$21,4,FALSE)))),0,IF(AND(OR(VRAGENLIJST!$D$4=dropdowns!$B$5,VRAGENLIJST!$D$4=dropdowns!$C$5),Liquiditeit!O3&lt;=IF(VRAGENLIJST!$D$21="",0,IFERROR(VLOOKUP(VRAGENLIJST!$D$21,dropdowns!$B$14:$F$21,5,FALSE),VLOOKUP(VRAGENLIJST!$D$21,dropdowns!$C$14:$F$21,4,FALSE)))),0,IF(AND(OR(VRAGENLIJST!$D$4=dropdowns!$B$5,VRAGENLIJST!$D$4=dropdowns!$C$5),Liquiditeit!O3&gt;IF(VRAGENLIJST!$D$21="",0,IFERROR(VLOOKUP(VRAGENLIJST!$D$21,dropdowns!$B$14:$F$21,5,FALSE),VLOOKUP(VRAGENLIJST!$D$21,dropdowns!$C$14:$F$21,4,FALSE)))),0,0)))))+IF(AND(OR(VRAGENLIJST!$D$4=dropdowns!$B$5,VRAGENLIJST!$D$4=dropdowns!$C$5),Liquiditeit!O3&lt;=IF(VRAGENLIJST!$D$21="",0,IFERROR(VLOOKUP(VRAGENLIJST!$D$21,dropdowns!$B$14:$F$21,5,FALSE),VLOOKUP(VRAGENLIJST!$D$21,dropdowns!$C$14:$F$21,4,FALSE)))),VRAGENLIJST!$D$66,IF(AND(OR(VRAGENLIJST!$D$4=dropdowns!$B$5,VRAGENLIJST!$D$4=dropdowns!$C$5),Liquiditeit!O3&gt;IF(VRAGENLIJST!$D$21="",0,IFERROR(VLOOKUP(VRAGENLIJST!$D$21,dropdowns!$B$14:$F$21,5,FALSE),VLOOKUP(VRAGENLIJST!$D$21,dropdowns!$C$14:$F$21,4,FALSE)))),IF(SUM(VRAGENLIJST!$D$39:$D$61)-VRAGENLIJST!$D$34+IF(IF(VRAGENLIJST!$D$21="",0,IFERROR(VLOOKUP(VRAGENLIJST!$D$21,dropdowns!$B$14:$F$21,5,FALSE),VLOOKUP(VRAGENLIJST!$D$21,dropdowns!$C$14:$F$21,4,FALSE)))&gt;0,VRAGENLIJST!$D$19,0)&lt;0,0,SUM(VRAGENLIJST!$D$39:$D$61)-VRAGENLIJST!$D$34+IF(IF(VRAGENLIJST!$D$21="",0,IFERROR(VLOOKUP(VRAGENLIJST!$D$21,dropdowns!$B$14:$F$21,5,FALSE),VLOOKUP(VRAGENLIJST!$D$21,dropdowns!$C$14:$F$21,4,FALSE)))&gt;0,VRAGENLIJST!$D$19,0)),0))</f>
        <v>0</v>
      </c>
      <c r="P37" s="331">
        <f>SUM(D37:O37)</f>
        <v>0</v>
      </c>
      <c r="S37" s="18"/>
    </row>
    <row r="38" spans="2:19" ht="14.25" customHeight="1" x14ac:dyDescent="0.25">
      <c r="B38" s="312" t="str">
        <f>VRAGENLIJST!$F$10</f>
        <v>Ondernemer:</v>
      </c>
      <c r="C38" s="330"/>
      <c r="D38" s="330"/>
      <c r="E38" s="330"/>
      <c r="F38" s="330"/>
      <c r="G38" s="330"/>
      <c r="H38" s="330"/>
      <c r="I38" s="330"/>
      <c r="J38" s="330"/>
      <c r="K38" s="330"/>
      <c r="L38" s="330"/>
      <c r="M38" s="330"/>
      <c r="N38" s="330"/>
      <c r="O38" s="330"/>
      <c r="P38" s="338"/>
      <c r="S38" s="18"/>
    </row>
    <row r="39" spans="2:19" ht="14.25" customHeight="1" x14ac:dyDescent="0.25">
      <c r="B39" s="328" t="str">
        <f>IF(VRAGENLIJST!$D$4=dropdowns!$A$6,Vertaling!A232,Vertaling!A233)</f>
        <v xml:space="preserve"> Afdracht inkomstenbelasting</v>
      </c>
      <c r="C39" s="330"/>
      <c r="D39" s="329">
        <f ca="1">IF(SUM($P$11:$P$12)=0,0,$P39*(SUM(D11:D12)/SUM($P$11:$P$12)))</f>
        <v>0</v>
      </c>
      <c r="E39" s="329">
        <f t="shared" ref="E39:N39" ca="1" si="6">IF(SUM($P$11:$P$12)=0,0,$P39*(SUM(E11:E12)/SUM($P$11:$P$12)))</f>
        <v>0</v>
      </c>
      <c r="F39" s="329">
        <f t="shared" ca="1" si="6"/>
        <v>0</v>
      </c>
      <c r="G39" s="329">
        <f t="shared" ca="1" si="6"/>
        <v>0</v>
      </c>
      <c r="H39" s="329">
        <f t="shared" ca="1" si="6"/>
        <v>0</v>
      </c>
      <c r="I39" s="329">
        <f t="shared" ca="1" si="6"/>
        <v>0</v>
      </c>
      <c r="J39" s="329">
        <f t="shared" ca="1" si="6"/>
        <v>0</v>
      </c>
      <c r="K39" s="329">
        <f t="shared" ca="1" si="6"/>
        <v>0</v>
      </c>
      <c r="L39" s="329">
        <f t="shared" ca="1" si="6"/>
        <v>0</v>
      </c>
      <c r="M39" s="329">
        <f t="shared" ca="1" si="6"/>
        <v>0</v>
      </c>
      <c r="N39" s="329">
        <f t="shared" ca="1" si="6"/>
        <v>0</v>
      </c>
      <c r="O39" s="329">
        <f ca="1">IF(SUM($P$11:$P$12)=0,0,$P39*(SUM(O11:O12)/SUM($P$11:$P$12)))</f>
        <v>0</v>
      </c>
      <c r="P39" s="331">
        <f>Exploitatie!$C$41</f>
        <v>0</v>
      </c>
    </row>
    <row r="40" spans="2:19" ht="14.25" customHeight="1" x14ac:dyDescent="0.25">
      <c r="B40" s="328" t="str">
        <f>IF(VRAGENLIJST!$D$4=dropdowns!$A$6,Vertaling!A234,Vertaling!A235)</f>
        <v xml:space="preserve"> Privéonttrekking</v>
      </c>
      <c r="C40" s="330"/>
      <c r="D40" s="329">
        <f>IF(OR(VRAGENLIJST!$D$4=dropdowns!$B$6,VRAGENLIJST!$D$4=dropdowns!$C$6),0,IF(AND(OR(VRAGENLIJST!$D$4=dropdowns!$B$4,VRAGENLIJST!$D$4=dropdowns!$C$4),Liquiditeit!D3&lt;=IF(VRAGENLIJST!$F$21="",0,IFERROR(VLOOKUP(VRAGENLIJST!$F$21,dropdowns!$B$14:$F$21,5,FALSE),VLOOKUP(VRAGENLIJST!$F$21,dropdowns!$C$14:$F$21,4,FALSE)))),VRAGENLIJST!$F$66,IF(AND(OR(VRAGENLIJST!$D$4=dropdowns!$B$4,VRAGENLIJST!$D$4=dropdowns!$C$4),Liquiditeit!D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D3&lt;=IF(VRAGENLIJST!$F$21="",0,IFERROR(VLOOKUP(VRAGENLIJST!$F$21,dropdowns!$B$14:$F$21,5,FALSE),VLOOKUP(VRAGENLIJST!$F$21,dropdowns!$C$14:$F$21,4,FALSE)))),VRAGENLIJST!$F$66,IF(AND(OR(VRAGENLIJST!$D$4=dropdowns!$B$5,VRAGENLIJST!$D$4=dropdowns!$C$5),Liquiditeit!D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D3&lt;=IF(VRAGENLIJST!$F$21="",0,IFERROR(VLOOKUP(VRAGENLIJST!$F$21,dropdowns!$B$14:$F$21,5,FALSE),VLOOKUP(VRAGENLIJST!$F$21,dropdowns!$C$14:$F$21,4,FALSE)))),0,IF(AND(OR(VRAGENLIJST!$D$4=dropdowns!$B$5,VRAGENLIJST!$D$4=dropdowns!$C$5),Liquiditeit!D3&gt;IF(VRAGENLIJST!$F$21="",0,IFERROR(VLOOKUP(VRAGENLIJST!$F$21,dropdowns!$B$14:$F$21,5,FALSE),VLOOKUP(VRAGENLIJST!$F$21,dropdowns!$C$14:$F$21,4,FALSE)))),0,0))</f>
        <v>0</v>
      </c>
      <c r="E40" s="329">
        <f>IF(OR(VRAGENLIJST!$D$4=dropdowns!$B$6,VRAGENLIJST!$D$4=dropdowns!$C$6),0,IF(AND(OR(VRAGENLIJST!$D$4=dropdowns!$B$4,VRAGENLIJST!$D$4=dropdowns!$C$4),Liquiditeit!E3&lt;=IF(VRAGENLIJST!$F$21="",0,IFERROR(VLOOKUP(VRAGENLIJST!$F$21,dropdowns!$B$14:$F$21,5,FALSE),VLOOKUP(VRAGENLIJST!$F$21,dropdowns!$C$14:$F$21,4,FALSE)))),VRAGENLIJST!$F$66,IF(AND(OR(VRAGENLIJST!$D$4=dropdowns!$B$4,VRAGENLIJST!$D$4=dropdowns!$C$4),Liquiditeit!E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E3&lt;=IF(VRAGENLIJST!$F$21="",0,IFERROR(VLOOKUP(VRAGENLIJST!$F$21,dropdowns!$B$14:$F$21,5,FALSE),VLOOKUP(VRAGENLIJST!$F$21,dropdowns!$C$14:$F$21,4,FALSE)))),VRAGENLIJST!$F$66,IF(AND(OR(VRAGENLIJST!$D$4=dropdowns!$B$5,VRAGENLIJST!$D$4=dropdowns!$C$5),Liquiditeit!E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E3&lt;=IF(VRAGENLIJST!$F$21="",0,IFERROR(VLOOKUP(VRAGENLIJST!$F$21,dropdowns!$B$14:$F$21,5,FALSE),VLOOKUP(VRAGENLIJST!$F$21,dropdowns!$C$14:$F$21,4,FALSE)))),0,IF(AND(OR(VRAGENLIJST!$D$4=dropdowns!$B$5,VRAGENLIJST!$D$4=dropdowns!$C$5),Liquiditeit!E3&gt;IF(VRAGENLIJST!$F$21="",0,IFERROR(VLOOKUP(VRAGENLIJST!$F$21,dropdowns!$B$14:$F$21,5,FALSE),VLOOKUP(VRAGENLIJST!$F$21,dropdowns!$C$14:$F$21,4,FALSE)))),0,0))</f>
        <v>0</v>
      </c>
      <c r="F40" s="329">
        <f>IF(OR(VRAGENLIJST!$D$4=dropdowns!$B$6,VRAGENLIJST!$D$4=dropdowns!$C$6),0,IF(AND(OR(VRAGENLIJST!$D$4=dropdowns!$B$4,VRAGENLIJST!$D$4=dropdowns!$C$4),Liquiditeit!F3&lt;=IF(VRAGENLIJST!$F$21="",0,IFERROR(VLOOKUP(VRAGENLIJST!$F$21,dropdowns!$B$14:$F$21,5,FALSE),VLOOKUP(VRAGENLIJST!$F$21,dropdowns!$C$14:$F$21,4,FALSE)))),VRAGENLIJST!$F$66,IF(AND(OR(VRAGENLIJST!$D$4=dropdowns!$B$4,VRAGENLIJST!$D$4=dropdowns!$C$4),Liquiditeit!F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F3&lt;=IF(VRAGENLIJST!$F$21="",0,IFERROR(VLOOKUP(VRAGENLIJST!$F$21,dropdowns!$B$14:$F$21,5,FALSE),VLOOKUP(VRAGENLIJST!$F$21,dropdowns!$C$14:$F$21,4,FALSE)))),VRAGENLIJST!$F$66,IF(AND(OR(VRAGENLIJST!$D$4=dropdowns!$B$5,VRAGENLIJST!$D$4=dropdowns!$C$5),Liquiditeit!F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F3&lt;=IF(VRAGENLIJST!$F$21="",0,IFERROR(VLOOKUP(VRAGENLIJST!$F$21,dropdowns!$B$14:$F$21,5,FALSE),VLOOKUP(VRAGENLIJST!$F$21,dropdowns!$C$14:$F$21,4,FALSE)))),0,IF(AND(OR(VRAGENLIJST!$D$4=dropdowns!$B$5,VRAGENLIJST!$D$4=dropdowns!$C$5),Liquiditeit!F3&gt;IF(VRAGENLIJST!$F$21="",0,IFERROR(VLOOKUP(VRAGENLIJST!$F$21,dropdowns!$B$14:$F$21,5,FALSE),VLOOKUP(VRAGENLIJST!$F$21,dropdowns!$C$14:$F$21,4,FALSE)))),0,0))</f>
        <v>0</v>
      </c>
      <c r="G40" s="329">
        <f>IF(OR(VRAGENLIJST!$D$4=dropdowns!$B$6,VRAGENLIJST!$D$4=dropdowns!$C$6),0,IF(AND(OR(VRAGENLIJST!$D$4=dropdowns!$B$4,VRAGENLIJST!$D$4=dropdowns!$C$4),Liquiditeit!G3&lt;=IF(VRAGENLIJST!$F$21="",0,IFERROR(VLOOKUP(VRAGENLIJST!$F$21,dropdowns!$B$14:$F$21,5,FALSE),VLOOKUP(VRAGENLIJST!$F$21,dropdowns!$C$14:$F$21,4,FALSE)))),VRAGENLIJST!$F$66,IF(AND(OR(VRAGENLIJST!$D$4=dropdowns!$B$4,VRAGENLIJST!$D$4=dropdowns!$C$4),Liquiditeit!G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G3&lt;=IF(VRAGENLIJST!$F$21="",0,IFERROR(VLOOKUP(VRAGENLIJST!$F$21,dropdowns!$B$14:$F$21,5,FALSE),VLOOKUP(VRAGENLIJST!$F$21,dropdowns!$C$14:$F$21,4,FALSE)))),VRAGENLIJST!$F$66,IF(AND(OR(VRAGENLIJST!$D$4=dropdowns!$B$5,VRAGENLIJST!$D$4=dropdowns!$C$5),Liquiditeit!G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G3&lt;=IF(VRAGENLIJST!$F$21="",0,IFERROR(VLOOKUP(VRAGENLIJST!$F$21,dropdowns!$B$14:$F$21,5,FALSE),VLOOKUP(VRAGENLIJST!$F$21,dropdowns!$C$14:$F$21,4,FALSE)))),0,IF(AND(OR(VRAGENLIJST!$D$4=dropdowns!$B$5,VRAGENLIJST!$D$4=dropdowns!$C$5),Liquiditeit!G3&gt;IF(VRAGENLIJST!$F$21="",0,IFERROR(VLOOKUP(VRAGENLIJST!$F$21,dropdowns!$B$14:$F$21,5,FALSE),VLOOKUP(VRAGENLIJST!$F$21,dropdowns!$C$14:$F$21,4,FALSE)))),0,0))</f>
        <v>0</v>
      </c>
      <c r="H40" s="329">
        <f>IF(OR(VRAGENLIJST!$D$4=dropdowns!$B$6,VRAGENLIJST!$D$4=dropdowns!$C$6),0,IF(AND(OR(VRAGENLIJST!$D$4=dropdowns!$B$4,VRAGENLIJST!$D$4=dropdowns!$C$4),Liquiditeit!H3&lt;=IF(VRAGENLIJST!$F$21="",0,IFERROR(VLOOKUP(VRAGENLIJST!$F$21,dropdowns!$B$14:$F$21,5,FALSE),VLOOKUP(VRAGENLIJST!$F$21,dropdowns!$C$14:$F$21,4,FALSE)))),VRAGENLIJST!$F$66,IF(AND(OR(VRAGENLIJST!$D$4=dropdowns!$B$4,VRAGENLIJST!$D$4=dropdowns!$C$4),Liquiditeit!H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H3&lt;=IF(VRAGENLIJST!$F$21="",0,IFERROR(VLOOKUP(VRAGENLIJST!$F$21,dropdowns!$B$14:$F$21,5,FALSE),VLOOKUP(VRAGENLIJST!$F$21,dropdowns!$C$14:$F$21,4,FALSE)))),VRAGENLIJST!$F$66,IF(AND(OR(VRAGENLIJST!$D$4=dropdowns!$B$5,VRAGENLIJST!$D$4=dropdowns!$C$5),Liquiditeit!H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H3&lt;=IF(VRAGENLIJST!$F$21="",0,IFERROR(VLOOKUP(VRAGENLIJST!$F$21,dropdowns!$B$14:$F$21,5,FALSE),VLOOKUP(VRAGENLIJST!$F$21,dropdowns!$C$14:$F$21,4,FALSE)))),0,IF(AND(OR(VRAGENLIJST!$D$4=dropdowns!$B$5,VRAGENLIJST!$D$4=dropdowns!$C$5),Liquiditeit!H3&gt;IF(VRAGENLIJST!$F$21="",0,IFERROR(VLOOKUP(VRAGENLIJST!$F$21,dropdowns!$B$14:$F$21,5,FALSE),VLOOKUP(VRAGENLIJST!$F$21,dropdowns!$C$14:$F$21,4,FALSE)))),0,0))</f>
        <v>0</v>
      </c>
      <c r="I40" s="329">
        <f>IF(OR(VRAGENLIJST!$D$4=dropdowns!$B$6,VRAGENLIJST!$D$4=dropdowns!$C$6),0,IF(AND(OR(VRAGENLIJST!$D$4=dropdowns!$B$4,VRAGENLIJST!$D$4=dropdowns!$C$4),Liquiditeit!I3&lt;=IF(VRAGENLIJST!$F$21="",0,IFERROR(VLOOKUP(VRAGENLIJST!$F$21,dropdowns!$B$14:$F$21,5,FALSE),VLOOKUP(VRAGENLIJST!$F$21,dropdowns!$C$14:$F$21,4,FALSE)))),VRAGENLIJST!$F$66,IF(AND(OR(VRAGENLIJST!$D$4=dropdowns!$B$4,VRAGENLIJST!$D$4=dropdowns!$C$4),Liquiditeit!I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I3&lt;=IF(VRAGENLIJST!$F$21="",0,IFERROR(VLOOKUP(VRAGENLIJST!$F$21,dropdowns!$B$14:$F$21,5,FALSE),VLOOKUP(VRAGENLIJST!$F$21,dropdowns!$C$14:$F$21,4,FALSE)))),VRAGENLIJST!$F$66,IF(AND(OR(VRAGENLIJST!$D$4=dropdowns!$B$5,VRAGENLIJST!$D$4=dropdowns!$C$5),Liquiditeit!I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I3&lt;=IF(VRAGENLIJST!$F$21="",0,IFERROR(VLOOKUP(VRAGENLIJST!$F$21,dropdowns!$B$14:$F$21,5,FALSE),VLOOKUP(VRAGENLIJST!$F$21,dropdowns!$C$14:$F$21,4,FALSE)))),0,IF(AND(OR(VRAGENLIJST!$D$4=dropdowns!$B$5,VRAGENLIJST!$D$4=dropdowns!$C$5),Liquiditeit!I3&gt;IF(VRAGENLIJST!$F$21="",0,IFERROR(VLOOKUP(VRAGENLIJST!$F$21,dropdowns!$B$14:$F$21,5,FALSE),VLOOKUP(VRAGENLIJST!$F$21,dropdowns!$C$14:$F$21,4,FALSE)))),0,0))</f>
        <v>0</v>
      </c>
      <c r="J40" s="329">
        <f>IF(OR(VRAGENLIJST!$D$4=dropdowns!$B$6,VRAGENLIJST!$D$4=dropdowns!$C$6),0,IF(AND(OR(VRAGENLIJST!$D$4=dropdowns!$B$4,VRAGENLIJST!$D$4=dropdowns!$C$4),Liquiditeit!J3&lt;=IF(VRAGENLIJST!$F$21="",0,IFERROR(VLOOKUP(VRAGENLIJST!$F$21,dropdowns!$B$14:$F$21,5,FALSE),VLOOKUP(VRAGENLIJST!$F$21,dropdowns!$C$14:$F$21,4,FALSE)))),VRAGENLIJST!$F$66,IF(AND(OR(VRAGENLIJST!$D$4=dropdowns!$B$4,VRAGENLIJST!$D$4=dropdowns!$C$4),Liquiditeit!J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J3&lt;=IF(VRAGENLIJST!$F$21="",0,IFERROR(VLOOKUP(VRAGENLIJST!$F$21,dropdowns!$B$14:$F$21,5,FALSE),VLOOKUP(VRAGENLIJST!$F$21,dropdowns!$C$14:$F$21,4,FALSE)))),VRAGENLIJST!$F$66,IF(AND(OR(VRAGENLIJST!$D$4=dropdowns!$B$5,VRAGENLIJST!$D$4=dropdowns!$C$5),Liquiditeit!J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J3&lt;=IF(VRAGENLIJST!$F$21="",0,IFERROR(VLOOKUP(VRAGENLIJST!$F$21,dropdowns!$B$14:$F$21,5,FALSE),VLOOKUP(VRAGENLIJST!$F$21,dropdowns!$C$14:$F$21,4,FALSE)))),0,IF(AND(OR(VRAGENLIJST!$D$4=dropdowns!$B$5,VRAGENLIJST!$D$4=dropdowns!$C$5),Liquiditeit!J3&gt;IF(VRAGENLIJST!$F$21="",0,IFERROR(VLOOKUP(VRAGENLIJST!$F$21,dropdowns!$B$14:$F$21,5,FALSE),VLOOKUP(VRAGENLIJST!$F$21,dropdowns!$C$14:$F$21,4,FALSE)))),0,0))</f>
        <v>0</v>
      </c>
      <c r="K40" s="329">
        <f>IF(OR(VRAGENLIJST!$D$4=dropdowns!$B$6,VRAGENLIJST!$D$4=dropdowns!$C$6),0,IF(AND(OR(VRAGENLIJST!$D$4=dropdowns!$B$4,VRAGENLIJST!$D$4=dropdowns!$C$4),Liquiditeit!K3&lt;=IF(VRAGENLIJST!$F$21="",0,IFERROR(VLOOKUP(VRAGENLIJST!$F$21,dropdowns!$B$14:$F$21,5,FALSE),VLOOKUP(VRAGENLIJST!$F$21,dropdowns!$C$14:$F$21,4,FALSE)))),VRAGENLIJST!$F$66,IF(AND(OR(VRAGENLIJST!$D$4=dropdowns!$B$4,VRAGENLIJST!$D$4=dropdowns!$C$4),Liquiditeit!K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K3&lt;=IF(VRAGENLIJST!$F$21="",0,IFERROR(VLOOKUP(VRAGENLIJST!$F$21,dropdowns!$B$14:$F$21,5,FALSE),VLOOKUP(VRAGENLIJST!$F$21,dropdowns!$C$14:$F$21,4,FALSE)))),VRAGENLIJST!$F$66,IF(AND(OR(VRAGENLIJST!$D$4=dropdowns!$B$5,VRAGENLIJST!$D$4=dropdowns!$C$5),Liquiditeit!K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K3&lt;=IF(VRAGENLIJST!$F$21="",0,IFERROR(VLOOKUP(VRAGENLIJST!$F$21,dropdowns!$B$14:$F$21,5,FALSE),VLOOKUP(VRAGENLIJST!$F$21,dropdowns!$C$14:$F$21,4,FALSE)))),0,IF(AND(OR(VRAGENLIJST!$D$4=dropdowns!$B$5,VRAGENLIJST!$D$4=dropdowns!$C$5),Liquiditeit!K3&gt;IF(VRAGENLIJST!$F$21="",0,IFERROR(VLOOKUP(VRAGENLIJST!$F$21,dropdowns!$B$14:$F$21,5,FALSE),VLOOKUP(VRAGENLIJST!$F$21,dropdowns!$C$14:$F$21,4,FALSE)))),0,0))</f>
        <v>0</v>
      </c>
      <c r="L40" s="329">
        <f>IF(OR(VRAGENLIJST!$D$4=dropdowns!$B$6,VRAGENLIJST!$D$4=dropdowns!$C$6),0,IF(AND(OR(VRAGENLIJST!$D$4=dropdowns!$B$4,VRAGENLIJST!$D$4=dropdowns!$C$4),Liquiditeit!L3&lt;=IF(VRAGENLIJST!$F$21="",0,IFERROR(VLOOKUP(VRAGENLIJST!$F$21,dropdowns!$B$14:$F$21,5,FALSE),VLOOKUP(VRAGENLIJST!$F$21,dropdowns!$C$14:$F$21,4,FALSE)))),VRAGENLIJST!$F$66,IF(AND(OR(VRAGENLIJST!$D$4=dropdowns!$B$4,VRAGENLIJST!$D$4=dropdowns!$C$4),Liquiditeit!L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L3&lt;=IF(VRAGENLIJST!$F$21="",0,IFERROR(VLOOKUP(VRAGENLIJST!$F$21,dropdowns!$B$14:$F$21,5,FALSE),VLOOKUP(VRAGENLIJST!$F$21,dropdowns!$C$14:$F$21,4,FALSE)))),VRAGENLIJST!$F$66,IF(AND(OR(VRAGENLIJST!$D$4=dropdowns!$B$5,VRAGENLIJST!$D$4=dropdowns!$C$5),Liquiditeit!L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L3&lt;=IF(VRAGENLIJST!$F$21="",0,IFERROR(VLOOKUP(VRAGENLIJST!$F$21,dropdowns!$B$14:$F$21,5,FALSE),VLOOKUP(VRAGENLIJST!$F$21,dropdowns!$C$14:$F$21,4,FALSE)))),0,IF(AND(OR(VRAGENLIJST!$D$4=dropdowns!$B$5,VRAGENLIJST!$D$4=dropdowns!$C$5),Liquiditeit!L3&gt;IF(VRAGENLIJST!$F$21="",0,IFERROR(VLOOKUP(VRAGENLIJST!$F$21,dropdowns!$B$14:$F$21,5,FALSE),VLOOKUP(VRAGENLIJST!$F$21,dropdowns!$C$14:$F$21,4,FALSE)))),0,0))</f>
        <v>0</v>
      </c>
      <c r="M40" s="329">
        <f>IF(OR(VRAGENLIJST!$D$4=dropdowns!$B$6,VRAGENLIJST!$D$4=dropdowns!$C$6),0,IF(AND(OR(VRAGENLIJST!$D$4=dropdowns!$B$4,VRAGENLIJST!$D$4=dropdowns!$C$4),Liquiditeit!M3&lt;=IF(VRAGENLIJST!$F$21="",0,IFERROR(VLOOKUP(VRAGENLIJST!$F$21,dropdowns!$B$14:$F$21,5,FALSE),VLOOKUP(VRAGENLIJST!$F$21,dropdowns!$C$14:$F$21,4,FALSE)))),VRAGENLIJST!$F$66,IF(AND(OR(VRAGENLIJST!$D$4=dropdowns!$B$4,VRAGENLIJST!$D$4=dropdowns!$C$4),Liquiditeit!M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M3&lt;=IF(VRAGENLIJST!$F$21="",0,IFERROR(VLOOKUP(VRAGENLIJST!$F$21,dropdowns!$B$14:$F$21,5,FALSE),VLOOKUP(VRAGENLIJST!$F$21,dropdowns!$C$14:$F$21,4,FALSE)))),VRAGENLIJST!$F$66,IF(AND(OR(VRAGENLIJST!$D$4=dropdowns!$B$5,VRAGENLIJST!$D$4=dropdowns!$C$5),Liquiditeit!M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M3&lt;=IF(VRAGENLIJST!$F$21="",0,IFERROR(VLOOKUP(VRAGENLIJST!$F$21,dropdowns!$B$14:$F$21,5,FALSE),VLOOKUP(VRAGENLIJST!$F$21,dropdowns!$C$14:$F$21,4,FALSE)))),0,IF(AND(OR(VRAGENLIJST!$D$4=dropdowns!$B$5,VRAGENLIJST!$D$4=dropdowns!$C$5),Liquiditeit!M3&gt;IF(VRAGENLIJST!$F$21="",0,IFERROR(VLOOKUP(VRAGENLIJST!$F$21,dropdowns!$B$14:$F$21,5,FALSE),VLOOKUP(VRAGENLIJST!$F$21,dropdowns!$C$14:$F$21,4,FALSE)))),0,0))</f>
        <v>0</v>
      </c>
      <c r="N40" s="329">
        <f>IF(OR(VRAGENLIJST!$D$4=dropdowns!$B$6,VRAGENLIJST!$D$4=dropdowns!$C$6),0,IF(AND(OR(VRAGENLIJST!$D$4=dropdowns!$B$4,VRAGENLIJST!$D$4=dropdowns!$C$4),Liquiditeit!N3&lt;=IF(VRAGENLIJST!$F$21="",0,IFERROR(VLOOKUP(VRAGENLIJST!$F$21,dropdowns!$B$14:$F$21,5,FALSE),VLOOKUP(VRAGENLIJST!$F$21,dropdowns!$C$14:$F$21,4,FALSE)))),VRAGENLIJST!$F$66,IF(AND(OR(VRAGENLIJST!$D$4=dropdowns!$B$4,VRAGENLIJST!$D$4=dropdowns!$C$4),Liquiditeit!N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N3&lt;=IF(VRAGENLIJST!$F$21="",0,IFERROR(VLOOKUP(VRAGENLIJST!$F$21,dropdowns!$B$14:$F$21,5,FALSE),VLOOKUP(VRAGENLIJST!$F$21,dropdowns!$C$14:$F$21,4,FALSE)))),VRAGENLIJST!$F$66,IF(AND(OR(VRAGENLIJST!$D$4=dropdowns!$B$5,VRAGENLIJST!$D$4=dropdowns!$C$5),Liquiditeit!N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N3&lt;=IF(VRAGENLIJST!$F$21="",0,IFERROR(VLOOKUP(VRAGENLIJST!$F$21,dropdowns!$B$14:$F$21,5,FALSE),VLOOKUP(VRAGENLIJST!$F$21,dropdowns!$C$14:$F$21,4,FALSE)))),0,IF(AND(OR(VRAGENLIJST!$D$4=dropdowns!$B$5,VRAGENLIJST!$D$4=dropdowns!$C$5),Liquiditeit!N3&gt;IF(VRAGENLIJST!$F$21="",0,IFERROR(VLOOKUP(VRAGENLIJST!$F$21,dropdowns!$B$14:$F$21,5,FALSE),VLOOKUP(VRAGENLIJST!$F$21,dropdowns!$C$14:$F$21,4,FALSE)))),0,0))</f>
        <v>0</v>
      </c>
      <c r="O40" s="329">
        <f>IF(OR(VRAGENLIJST!$D$4=dropdowns!$B$6,VRAGENLIJST!$D$4=dropdowns!$C$6),0,IF(AND(OR(VRAGENLIJST!$D$4=dropdowns!$B$4,VRAGENLIJST!$D$4=dropdowns!$C$4),Liquiditeit!O3&lt;=IF(VRAGENLIJST!$F$21="",0,IFERROR(VLOOKUP(VRAGENLIJST!$F$21,dropdowns!$B$14:$F$21,5,FALSE),VLOOKUP(VRAGENLIJST!$F$21,dropdowns!$C$14:$F$21,4,FALSE)))),VRAGENLIJST!$F$66,IF(AND(OR(VRAGENLIJST!$D$4=dropdowns!$B$4,VRAGENLIJST!$D$4=dropdowns!$C$4),Liquiditeit!O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IF(AND(OR(VRAGENLIJST!$D$4=dropdowns!$B$5,VRAGENLIJST!$D$4=dropdowns!$C$5),Liquiditeit!O3&lt;=IF(VRAGENLIJST!$F$21="",0,IFERROR(VLOOKUP(VRAGENLIJST!$F$21,dropdowns!$B$14:$F$21,5,FALSE),VLOOKUP(VRAGENLIJST!$F$21,dropdowns!$C$14:$F$21,4,FALSE)))),VRAGENLIJST!$F$66,IF(AND(OR(VRAGENLIJST!$D$4=dropdowns!$B$5,VRAGENLIJST!$D$4=dropdowns!$C$5),Liquiditeit!O3&gt;IF(VRAGENLIJST!$F$21="",0,IFERROR(VLOOKUP(VRAGENLIJST!$F$21,dropdowns!$B$14:$F$21,5,FALSE),VLOOKUP(VRAGENLIJST!$F$21,dropdowns!$C$14:$F$21,4,FALSE)))),IF(SUM(VRAGENLIJST!$F$39:$F$61)-VRAGENLIJST!$F$34+IF(IF(VRAGENLIJST!$F$21="",0,IFERROR(VLOOKUP(VRAGENLIJST!$F$21,dropdowns!$B$14:$F$21,5,FALSE),VLOOKUP(VRAGENLIJST!$F$21,dropdowns!$C$14:$F$21,4,FALSE)))&gt;0,VRAGENLIJST!$F$19,0)&lt;0,0,SUM(VRAGENLIJST!$F$39:$F$61)-VRAGENLIJST!$F$34+IF(IF(VRAGENLIJST!$F$21="",0,IFERROR(VLOOKUP(VRAGENLIJST!$F$21,dropdowns!$B$14:$F$21,5,FALSE),VLOOKUP(VRAGENLIJST!$F$21,dropdowns!$C$14:$F$21,4,FALSE)))&gt;0,VRAGENLIJST!$F$19,0)),0)))))+IF(AND(OR(VRAGENLIJST!$D$4=dropdowns!$B$5,VRAGENLIJST!$D$4=dropdowns!$C$5),Liquiditeit!O3&lt;=IF(VRAGENLIJST!$F$21="",0,IFERROR(VLOOKUP(VRAGENLIJST!$F$21,dropdowns!$B$14:$F$21,5,FALSE),VLOOKUP(VRAGENLIJST!$F$21,dropdowns!$C$14:$F$21,4,FALSE)))),0,IF(AND(OR(VRAGENLIJST!$D$4=dropdowns!$B$5,VRAGENLIJST!$D$4=dropdowns!$C$5),Liquiditeit!O3&gt;IF(VRAGENLIJST!$F$21="",0,IFERROR(VLOOKUP(VRAGENLIJST!$F$21,dropdowns!$B$14:$F$21,5,FALSE),VLOOKUP(VRAGENLIJST!$F$21,dropdowns!$C$14:$F$21,4,FALSE)))),0,0))</f>
        <v>0</v>
      </c>
      <c r="P40" s="331">
        <f>SUM(D40:O40)</f>
        <v>0</v>
      </c>
      <c r="S40" s="164"/>
    </row>
    <row r="41" spans="2:19" ht="14.25" customHeight="1" x14ac:dyDescent="0.25">
      <c r="B41" s="328"/>
      <c r="C41" s="328"/>
      <c r="D41" s="328"/>
      <c r="E41" s="328"/>
      <c r="F41" s="328"/>
      <c r="G41" s="328"/>
      <c r="H41" s="328"/>
      <c r="I41" s="328"/>
      <c r="J41" s="328"/>
      <c r="K41" s="328"/>
      <c r="L41" s="328"/>
      <c r="M41" s="328"/>
      <c r="N41" s="328"/>
      <c r="O41" s="328"/>
      <c r="P41" s="338"/>
      <c r="S41" s="18"/>
    </row>
    <row r="42" spans="2:19" ht="14.25" customHeight="1" x14ac:dyDescent="0.25">
      <c r="B42" s="333" t="str">
        <f>Vertaling!A236</f>
        <v>Totale uitgaven</v>
      </c>
      <c r="C42" s="334">
        <f>SUM(C18:C40)</f>
        <v>0</v>
      </c>
      <c r="D42" s="334">
        <f ca="1">SUM(D18:D40)-IF(VRAGENLIJST!$D$14="",SUM(Liquiditeit!D36:D37),0)</f>
        <v>0</v>
      </c>
      <c r="E42" s="334">
        <f ca="1">SUM(E18:E40)-IF(VRAGENLIJST!$D$14="",SUM(Liquiditeit!E36:E37),0)</f>
        <v>0</v>
      </c>
      <c r="F42" s="334">
        <f ca="1">SUM(F18:F40)-IF(VRAGENLIJST!$D$14="",SUM(Liquiditeit!F36:F37),0)</f>
        <v>0</v>
      </c>
      <c r="G42" s="334">
        <f ca="1">SUM(G18:G40)-IF(VRAGENLIJST!$D$14="",SUM(Liquiditeit!G36:G37),0)</f>
        <v>0</v>
      </c>
      <c r="H42" s="334">
        <f ca="1">SUM(H18:H40)-IF(VRAGENLIJST!$D$14="",SUM(Liquiditeit!H36:H37),0)</f>
        <v>0</v>
      </c>
      <c r="I42" s="334">
        <f ca="1">SUM(I18:I40)-IF(VRAGENLIJST!$D$14="",SUM(Liquiditeit!I36:I37),0)</f>
        <v>0</v>
      </c>
      <c r="J42" s="334">
        <f ca="1">SUM(J18:J40)-IF(VRAGENLIJST!$D$14="",SUM(Liquiditeit!J36:J37),0)</f>
        <v>0</v>
      </c>
      <c r="K42" s="334">
        <f ca="1">SUM(K18:K40)-IF(VRAGENLIJST!$D$14="",SUM(Liquiditeit!K36:K37),0)</f>
        <v>0</v>
      </c>
      <c r="L42" s="334">
        <f ca="1">SUM(L18:L40)-IF(VRAGENLIJST!$D$14="",SUM(Liquiditeit!L36:L37),0)</f>
        <v>0</v>
      </c>
      <c r="M42" s="334">
        <f ca="1">SUM(M18:M40)-IF(VRAGENLIJST!$D$14="",SUM(Liquiditeit!M36:M37),0)</f>
        <v>0</v>
      </c>
      <c r="N42" s="334">
        <f ca="1">SUM(N18:N40)-IF(VRAGENLIJST!$D$14="",SUM(Liquiditeit!N36:N37),0)</f>
        <v>0</v>
      </c>
      <c r="O42" s="334">
        <f ca="1">SUM(O18:O40)-IF(VRAGENLIJST!$D$14="",SUM(Liquiditeit!O36:O37),0)</f>
        <v>0</v>
      </c>
      <c r="P42" s="331">
        <f ca="1">SUM(C42:O42)</f>
        <v>0</v>
      </c>
    </row>
    <row r="43" spans="2:19" ht="14.25" customHeight="1" x14ac:dyDescent="0.25">
      <c r="B43" s="339"/>
      <c r="C43" s="339"/>
      <c r="D43" s="339"/>
      <c r="E43" s="339"/>
      <c r="F43" s="339"/>
      <c r="G43" s="339"/>
      <c r="H43" s="339"/>
      <c r="I43" s="339"/>
      <c r="J43" s="339"/>
      <c r="K43" s="339"/>
      <c r="L43" s="339"/>
      <c r="M43" s="339"/>
      <c r="N43" s="339"/>
      <c r="O43" s="339"/>
      <c r="P43" s="339"/>
    </row>
    <row r="44" spans="2:19" ht="14.25" customHeight="1" x14ac:dyDescent="0.25">
      <c r="B44" s="340" t="str">
        <f>Vertaling!A237</f>
        <v>Kas per maand</v>
      </c>
      <c r="C44" s="341">
        <f t="shared" ref="C44:O44" si="7">C15-C42</f>
        <v>0</v>
      </c>
      <c r="D44" s="341">
        <f t="shared" ca="1" si="7"/>
        <v>0</v>
      </c>
      <c r="E44" s="341">
        <f t="shared" ca="1" si="7"/>
        <v>0</v>
      </c>
      <c r="F44" s="341">
        <f t="shared" ca="1" si="7"/>
        <v>0</v>
      </c>
      <c r="G44" s="341">
        <f t="shared" ca="1" si="7"/>
        <v>0</v>
      </c>
      <c r="H44" s="341">
        <f t="shared" ca="1" si="7"/>
        <v>0</v>
      </c>
      <c r="I44" s="341">
        <f t="shared" ca="1" si="7"/>
        <v>0</v>
      </c>
      <c r="J44" s="341">
        <f t="shared" ca="1" si="7"/>
        <v>0</v>
      </c>
      <c r="K44" s="341">
        <f t="shared" ca="1" si="7"/>
        <v>0</v>
      </c>
      <c r="L44" s="341">
        <f t="shared" ca="1" si="7"/>
        <v>0</v>
      </c>
      <c r="M44" s="341">
        <f t="shared" ca="1" si="7"/>
        <v>0</v>
      </c>
      <c r="N44" s="341">
        <f t="shared" ca="1" si="7"/>
        <v>0</v>
      </c>
      <c r="O44" s="341">
        <f t="shared" ca="1" si="7"/>
        <v>0</v>
      </c>
      <c r="P44" s="342"/>
    </row>
    <row r="45" spans="2:19" ht="14.25" customHeight="1" x14ac:dyDescent="0.25">
      <c r="B45" s="339"/>
      <c r="C45" s="339"/>
      <c r="D45" s="339"/>
      <c r="E45" s="339"/>
      <c r="F45" s="339"/>
      <c r="G45" s="339"/>
      <c r="H45" s="339"/>
      <c r="I45" s="339"/>
      <c r="J45" s="339"/>
      <c r="K45" s="339"/>
      <c r="L45" s="339"/>
      <c r="M45" s="339"/>
      <c r="N45" s="339"/>
      <c r="O45" s="339"/>
      <c r="P45" s="339"/>
    </row>
    <row r="46" spans="2:19" ht="14.25" customHeight="1" x14ac:dyDescent="0.25">
      <c r="B46" s="340" t="str">
        <f>Vertaling!A238</f>
        <v>Eindsaldo</v>
      </c>
      <c r="C46" s="341">
        <f t="shared" ref="C46" si="8">C5+C44</f>
        <v>0</v>
      </c>
      <c r="D46" s="341">
        <f t="shared" ref="D46:O46" ca="1" si="9">D5+D44</f>
        <v>0</v>
      </c>
      <c r="E46" s="341">
        <f t="shared" ca="1" si="9"/>
        <v>0</v>
      </c>
      <c r="F46" s="341">
        <f t="shared" ca="1" si="9"/>
        <v>0</v>
      </c>
      <c r="G46" s="341">
        <f t="shared" ca="1" si="9"/>
        <v>0</v>
      </c>
      <c r="H46" s="341">
        <f t="shared" ca="1" si="9"/>
        <v>0</v>
      </c>
      <c r="I46" s="341">
        <f t="shared" ca="1" si="9"/>
        <v>0</v>
      </c>
      <c r="J46" s="341">
        <f t="shared" ca="1" si="9"/>
        <v>0</v>
      </c>
      <c r="K46" s="341">
        <f t="shared" ca="1" si="9"/>
        <v>0</v>
      </c>
      <c r="L46" s="341">
        <f t="shared" ca="1" si="9"/>
        <v>0</v>
      </c>
      <c r="M46" s="341">
        <f t="shared" ca="1" si="9"/>
        <v>0</v>
      </c>
      <c r="N46" s="341">
        <f t="shared" ca="1" si="9"/>
        <v>0</v>
      </c>
      <c r="O46" s="341">
        <f t="shared" ca="1" si="9"/>
        <v>0</v>
      </c>
      <c r="P46" s="342"/>
    </row>
    <row r="48" spans="2:19" ht="15" x14ac:dyDescent="0.25"/>
  </sheetData>
  <sheetProtection algorithmName="SHA-512" hashValue="GEgfOIjeRmmXCGbhJRM+Ikh9FsumvZqg4HHK/N9E/SqzQH2ASNX3Ljh0zv6kF2jjCeVAvL5SRZFXtMCw3TFnNA==" saltValue="n3DK9CrYIOrFlPVP8OUF3Q==" spinCount="100000" sheet="1" formatColumns="0"/>
  <mergeCells count="5">
    <mergeCell ref="T22:U22"/>
    <mergeCell ref="T24:U24"/>
    <mergeCell ref="T25:U25"/>
    <mergeCell ref="T26:U26"/>
    <mergeCell ref="T27:U27"/>
  </mergeCells>
  <hyperlinks>
    <hyperlink ref="R2" r:id="rId1" display="wat is dit?" xr:uid="{00000000-0004-0000-0400-000000000000}"/>
  </hyperlinks>
  <pageMargins left="0.75" right="0.75" top="1" bottom="1" header="0.51180555555555551" footer="0.51180555555555551"/>
  <pageSetup paperSize="9" scale="71" firstPageNumber="0" fitToHeight="0" orientation="landscape" horizontalDpi="300" verticalDpi="300" r:id="rId2"/>
  <headerFooter alignWithMargins="0"/>
  <ignoredErrors>
    <ignoredError sqref="B35 F34 I34 L34 O34" formula="1"/>
    <ignoredError sqref="B23" evalError="1"/>
  </ignoredErrors>
  <drawing r:id="rId3"/>
  <extLst>
    <ext xmlns:x14="http://schemas.microsoft.com/office/spreadsheetml/2009/9/main" uri="{78C0D931-6437-407d-A8EE-F0AAD7539E65}">
      <x14:conditionalFormattings>
        <x14:conditionalFormatting xmlns:xm="http://schemas.microsoft.com/office/excel/2006/main">
          <x14:cfRule type="expression" priority="8" id="{D6BCD76B-E25E-4F7D-A1A0-EBFDD29EBD78}">
            <xm:f>VRAGENLIJST!$D$4="Eenmanszaak"</xm:f>
            <x14:dxf>
              <font>
                <color theme="0"/>
              </font>
              <fill>
                <patternFill>
                  <fgColor theme="0"/>
                  <bgColor theme="0"/>
                </patternFill>
              </fill>
              <border>
                <left/>
                <right/>
                <top/>
                <bottom/>
                <vertical/>
                <horizontal/>
              </border>
            </x14:dxf>
          </x14:cfRule>
          <x14:cfRule type="expression" priority="9" id="{CB410863-BA95-479F-A8AA-3933EA343F40}">
            <xm:f>VRAGENLIJST!$D$4="V.O.F."</xm:f>
            <x14:dxf>
              <font>
                <color theme="0"/>
              </font>
              <fill>
                <patternFill>
                  <fgColor theme="0"/>
                  <bgColor theme="0"/>
                </patternFill>
              </fill>
              <border>
                <left/>
                <right/>
                <top/>
                <bottom/>
                <vertical/>
                <horizontal/>
              </border>
            </x14:dxf>
          </x14:cfRule>
          <xm:sqref>A34:C34 F34 I34 L34 O34:XFD34</xm:sqref>
        </x14:conditionalFormatting>
        <x14:conditionalFormatting xmlns:xm="http://schemas.microsoft.com/office/excel/2006/main">
          <x14:cfRule type="expression" priority="7" id="{59CD6CA2-7108-40C0-8F0D-61E26B0BA413}">
            <xm:f>VRAGENLIJST!$D$4="B.V."</xm:f>
            <x14:dxf>
              <font>
                <color theme="0"/>
              </font>
              <fill>
                <patternFill>
                  <fgColor theme="0"/>
                  <bgColor theme="0"/>
                </patternFill>
              </fill>
              <border>
                <left/>
                <right/>
                <top/>
                <bottom/>
                <vertical/>
                <horizontal/>
              </border>
            </x14:dxf>
          </x14:cfRule>
          <xm:sqref>A35:XFD41</xm:sqref>
        </x14:conditionalFormatting>
        <x14:conditionalFormatting xmlns:xm="http://schemas.microsoft.com/office/excel/2006/main">
          <x14:cfRule type="expression" priority="3" id="{90C33868-136A-41F3-A38C-A70E75EB925D}">
            <xm:f>VRAGENLIJST!$D$4="Eenmanszaak"</xm:f>
            <x14:dxf>
              <font>
                <color theme="0"/>
              </font>
              <fill>
                <patternFill>
                  <bgColor theme="0"/>
                </patternFill>
              </fill>
            </x14:dxf>
          </x14:cfRule>
          <x14:cfRule type="expression" priority="4" id="{7242C7CC-3A1A-4C5F-BD39-B4E7630DF720}">
            <xm:f>VRAGENLIJST!$D$4="V.O.F."</xm:f>
            <x14:dxf>
              <font>
                <color theme="0"/>
              </font>
              <fill>
                <patternFill>
                  <bgColor theme="0"/>
                </patternFill>
              </fill>
            </x14:dxf>
          </x14:cfRule>
          <xm:sqref>B23:P23</xm:sqref>
        </x14:conditionalFormatting>
        <x14:conditionalFormatting xmlns:xm="http://schemas.microsoft.com/office/excel/2006/main">
          <x14:cfRule type="expression" priority="11" id="{A5198426-4990-4E0F-B9BD-6685AC84D4AD}">
            <xm:f>VRAGENLIJST!$D$14=""</xm:f>
            <x14:dxf>
              <font>
                <color theme="0"/>
              </font>
              <fill>
                <patternFill>
                  <fgColor theme="0"/>
                  <bgColor theme="0"/>
                </patternFill>
              </fill>
              <border>
                <left/>
                <right/>
                <top/>
                <bottom/>
                <vertical/>
                <horizontal/>
              </border>
            </x14:dxf>
          </x14:cfRule>
          <xm:sqref>B35:P37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232572"/>
  </sheetPr>
  <dimension ref="A1:K47"/>
  <sheetViews>
    <sheetView zoomScaleNormal="100" workbookViewId="0">
      <selection activeCell="G11" sqref="G11"/>
    </sheetView>
  </sheetViews>
  <sheetFormatPr defaultColWidth="64.140625" defaultRowHeight="14.25" customHeight="1" x14ac:dyDescent="0.25"/>
  <cols>
    <col min="1" max="1" width="3.5703125" style="3" customWidth="1"/>
    <col min="2" max="2" width="52" style="269" customWidth="1"/>
    <col min="3" max="3" width="15.85546875" style="269" customWidth="1"/>
    <col min="4" max="4" width="3.140625" style="269" customWidth="1"/>
    <col min="5" max="5" width="9.140625" style="269" customWidth="1"/>
    <col min="6" max="6" width="45.85546875" style="269" customWidth="1"/>
    <col min="7" max="7" width="15.85546875" style="269" customWidth="1"/>
    <col min="8" max="8" width="3.5703125" style="269" customWidth="1"/>
    <col min="9" max="9" width="21.85546875" style="269" customWidth="1"/>
    <col min="10" max="10" width="9.140625" style="3" customWidth="1"/>
    <col min="11" max="11" width="11.85546875" style="3" customWidth="1"/>
    <col min="12" max="254" width="9.140625" style="3" customWidth="1"/>
    <col min="255" max="255" width="3.140625" style="3" customWidth="1"/>
    <col min="256" max="16384" width="64.140625" style="3"/>
  </cols>
  <sheetData>
    <row r="1" spans="2:9" ht="93" customHeight="1" x14ac:dyDescent="0.25">
      <c r="B1" s="176" t="str">
        <f>Vertaling!A243</f>
        <v>Exploitatiebegroting</v>
      </c>
      <c r="C1" s="2"/>
      <c r="D1" s="3"/>
      <c r="E1" s="3"/>
      <c r="F1" s="3"/>
      <c r="G1" s="20"/>
      <c r="H1" s="3"/>
      <c r="I1" s="3"/>
    </row>
    <row r="2" spans="2:9" ht="15" x14ac:dyDescent="0.25">
      <c r="B2" s="218"/>
      <c r="C2" s="218"/>
      <c r="G2" s="343"/>
      <c r="I2" s="214" t="str">
        <f>Vertaling!A239</f>
        <v>Wat is dit?</v>
      </c>
    </row>
    <row r="3" spans="2:9" ht="14.25" customHeight="1" x14ac:dyDescent="0.25">
      <c r="B3" s="344" t="str">
        <f>Vertaling!A244</f>
        <v xml:space="preserve">Exploitatiebegroting </v>
      </c>
      <c r="C3" s="273"/>
      <c r="D3" s="274"/>
      <c r="E3" s="274"/>
      <c r="F3" s="344" t="str">
        <f>Vertaling!A273</f>
        <v xml:space="preserve">Cashflowoverzicht  </v>
      </c>
      <c r="G3" s="273"/>
    </row>
    <row r="4" spans="2:9" ht="14.25" customHeight="1" x14ac:dyDescent="0.25">
      <c r="B4" s="345" t="str">
        <f>Vertaling!A245</f>
        <v>Netto-omzet product 1</v>
      </c>
      <c r="C4" s="346">
        <f>SUM(VRAGENLIJST!$D$206:$D$228)</f>
        <v>0</v>
      </c>
      <c r="D4" s="274"/>
      <c r="E4" s="274"/>
      <c r="F4" s="280" t="str">
        <f>Vertaling!A274</f>
        <v>Winst na belasting</v>
      </c>
      <c r="G4" s="346">
        <f>IF(OR(VRAGENLIJST!D4=dropdowns!B6,VRAGENLIJST!D4=dropdowns!C6,VRAGENLIJST!D4=dropdowns!D6,VRAGENLIJST!D4=dropdowns!E6),C44,C30-C36-C41)</f>
        <v>0</v>
      </c>
      <c r="I4" s="214" t="str">
        <f>Vertaling!A201</f>
        <v>Klik hier om VRAGENLIJST in te vullen</v>
      </c>
    </row>
    <row r="5" spans="2:9" ht="14.25" customHeight="1" x14ac:dyDescent="0.25">
      <c r="B5" s="347" t="str">
        <f>Vertaling!A246</f>
        <v>Inkoopwaarde</v>
      </c>
      <c r="C5" s="348">
        <f>IF(OR(VRAGENLIJST!$D$160=dropdowns!$B$24,VRAGENLIJST!$D$160=dropdowns!$C$24,VRAGENLIJST!$D$160=dropdowns!$D$24,VRAGENLIJST!$D$160=dropdowns!$E$24),C4*VRAGENLIJST!$D$164,0)</f>
        <v>0</v>
      </c>
      <c r="D5" s="274"/>
      <c r="E5" s="274"/>
      <c r="F5" s="347" t="str">
        <f>Vertaling!A275</f>
        <v>Afschrijvingen</v>
      </c>
      <c r="G5" s="348">
        <f>C24</f>
        <v>0</v>
      </c>
    </row>
    <row r="6" spans="2:9" ht="14.25" customHeight="1" x14ac:dyDescent="0.25">
      <c r="B6" s="280" t="str">
        <f>Vertaling!A247</f>
        <v>Brutowinst</v>
      </c>
      <c r="C6" s="349">
        <f>C4-C5</f>
        <v>0</v>
      </c>
      <c r="D6" s="274"/>
      <c r="E6" s="274"/>
      <c r="F6" s="280" t="str">
        <f>Vertaling!A276</f>
        <v>Beschikbare kasmiddelen</v>
      </c>
      <c r="G6" s="346">
        <f>G4+G5</f>
        <v>0</v>
      </c>
      <c r="I6" s="350"/>
    </row>
    <row r="7" spans="2:9" ht="14.25" customHeight="1" x14ac:dyDescent="0.25">
      <c r="B7" s="351" t="str">
        <f>Vertaling!A248</f>
        <v>Brutowinstmarge</v>
      </c>
      <c r="C7" s="352">
        <f>IF(C4=0,0,C6/C4)</f>
        <v>0</v>
      </c>
      <c r="D7" s="274"/>
      <c r="E7" s="274"/>
      <c r="F7" s="353"/>
      <c r="G7" s="354"/>
    </row>
    <row r="8" spans="2:9" ht="14.25" customHeight="1" x14ac:dyDescent="0.25">
      <c r="B8" s="355"/>
      <c r="C8" s="356"/>
      <c r="D8" s="274"/>
      <c r="E8" s="274"/>
      <c r="F8" s="357" t="str">
        <f>Vertaling!A277</f>
        <v>Totale privéonttrekking</v>
      </c>
      <c r="G8" s="358">
        <f>IF(VRAGENLIJST!$D$4=dropdowns!$A$6,0,C37+C42)</f>
        <v>0</v>
      </c>
    </row>
    <row r="9" spans="2:9" ht="14.25" customHeight="1" x14ac:dyDescent="0.25">
      <c r="B9" s="359" t="str">
        <f>Vertaling!A249</f>
        <v>Netto-omzet product 2</v>
      </c>
      <c r="C9" s="360">
        <f>SUM(VRAGENLIJST!$F$206:$F$228)</f>
        <v>0</v>
      </c>
      <c r="D9" s="274"/>
      <c r="E9" s="274"/>
      <c r="F9" s="347" t="str">
        <f>Vertaling!A278</f>
        <v>Aflossingen</v>
      </c>
      <c r="G9" s="348">
        <f>Liquiditeit!P31+'Qredits maandlasten'!O18</f>
        <v>0</v>
      </c>
    </row>
    <row r="10" spans="2:9" ht="14.25" customHeight="1" x14ac:dyDescent="0.25">
      <c r="B10" s="347" t="str">
        <f>Vertaling!A250</f>
        <v>Inkoopwaarde</v>
      </c>
      <c r="C10" s="348">
        <f>IF(OR(VRAGENLIJST!$F$160=dropdowns!$B$24,VRAGENLIJST!$F$160=dropdowns!$C$24,VRAGENLIJST!$F$160=dropdowns!$E$25,VRAGENLIJST!$F$160=dropdowns!$E$24),C9*VRAGENLIJST!$F$164,0)</f>
        <v>0</v>
      </c>
      <c r="D10" s="274"/>
      <c r="E10" s="274"/>
      <c r="F10" s="355"/>
      <c r="G10" s="354"/>
    </row>
    <row r="11" spans="2:9" ht="14.25" customHeight="1" x14ac:dyDescent="0.25">
      <c r="B11" s="280" t="str">
        <f>Vertaling!A251</f>
        <v>Brutowinst</v>
      </c>
      <c r="C11" s="349">
        <f>C9-C10</f>
        <v>0</v>
      </c>
      <c r="D11" s="274"/>
      <c r="E11" s="274"/>
      <c r="F11" s="290" t="str">
        <f>Vertaling!A279</f>
        <v>Beschikbaar voor investeringen</v>
      </c>
      <c r="G11" s="360">
        <f>G6-G8-G9</f>
        <v>0</v>
      </c>
    </row>
    <row r="12" spans="2:9" ht="14.25" customHeight="1" x14ac:dyDescent="0.25">
      <c r="B12" s="351" t="str">
        <f>Vertaling!A252</f>
        <v>Brutowinstmarge</v>
      </c>
      <c r="C12" s="352">
        <f>IF(C9=0,0,C11/C9)</f>
        <v>0</v>
      </c>
      <c r="D12" s="274"/>
      <c r="E12" s="274"/>
      <c r="F12" s="274"/>
      <c r="G12" s="274"/>
    </row>
    <row r="13" spans="2:9" ht="14.25" customHeight="1" x14ac:dyDescent="0.25">
      <c r="B13" s="355"/>
      <c r="C13" s="356"/>
      <c r="D13" s="274"/>
      <c r="E13" s="274"/>
      <c r="F13" s="274"/>
      <c r="G13" s="274"/>
    </row>
    <row r="14" spans="2:9" ht="14.25" customHeight="1" x14ac:dyDescent="0.25">
      <c r="B14" s="359" t="str">
        <f>Vertaling!A253</f>
        <v>Totaal omzet</v>
      </c>
      <c r="C14" s="360">
        <f>C4+C9</f>
        <v>0</v>
      </c>
      <c r="D14" s="274"/>
      <c r="E14" s="274"/>
      <c r="F14" s="274"/>
      <c r="G14" s="274"/>
    </row>
    <row r="15" spans="2:9" ht="14.25" customHeight="1" x14ac:dyDescent="0.25">
      <c r="B15" s="347" t="str">
        <f>Vertaling!A254</f>
        <v>Inkoopwaarde</v>
      </c>
      <c r="C15" s="348">
        <f>C5+C10</f>
        <v>0</v>
      </c>
      <c r="D15" s="274"/>
      <c r="E15" s="274"/>
      <c r="F15" s="274"/>
      <c r="G15" s="274"/>
    </row>
    <row r="16" spans="2:9" ht="14.25" customHeight="1" x14ac:dyDescent="0.25">
      <c r="B16" s="280" t="str">
        <f>Vertaling!A255</f>
        <v>Totaal brutowinst</v>
      </c>
      <c r="C16" s="349">
        <f>C14-C15</f>
        <v>0</v>
      </c>
      <c r="D16" s="274"/>
      <c r="E16" s="274"/>
      <c r="F16" s="274"/>
      <c r="G16" s="274"/>
    </row>
    <row r="17" spans="1:11" ht="14.25" customHeight="1" x14ac:dyDescent="0.25">
      <c r="B17" s="353"/>
      <c r="C17" s="354"/>
      <c r="D17" s="274"/>
      <c r="E17" s="274"/>
      <c r="F17" s="274"/>
      <c r="G17" s="274"/>
    </row>
    <row r="18" spans="1:11" ht="14.25" customHeight="1" x14ac:dyDescent="0.25">
      <c r="B18" s="357" t="str">
        <f>IF(VRAGENLIJST!$D$4=dropdowns!$A$6,Vertaling!$A$234,"")</f>
        <v/>
      </c>
      <c r="C18" s="358" t="str">
        <f>IF(OR(VRAGENLIJST!$D$4=dropdowns!$B$6,VRAGENLIJST!$D$4=dropdowns!$C$6,VRAGENLIJST!$D$4=dropdowns!$D$6,VRAGENLIJST!$D$4=dropdowns!$E$6),Liquiditeit!P23,"")</f>
        <v/>
      </c>
      <c r="D18" s="274"/>
      <c r="E18" s="274"/>
      <c r="F18" s="274"/>
      <c r="G18" s="274"/>
    </row>
    <row r="19" spans="1:11" ht="14.25" customHeight="1" x14ac:dyDescent="0.25">
      <c r="B19" s="347" t="str">
        <f>Vertaling!A256</f>
        <v>Personeelskosten</v>
      </c>
      <c r="C19" s="348">
        <f>Liquiditeit!P22</f>
        <v>0</v>
      </c>
      <c r="D19" s="274"/>
      <c r="E19" s="274"/>
      <c r="F19" s="274"/>
      <c r="G19" s="274"/>
    </row>
    <row r="20" spans="1:11" ht="21" x14ac:dyDescent="0.55000000000000004">
      <c r="B20" s="347" t="str">
        <f>Vertaling!A257</f>
        <v>Huisvestingskosten</v>
      </c>
      <c r="C20" s="348">
        <f>Liquiditeit!P24</f>
        <v>0</v>
      </c>
      <c r="D20" s="274"/>
      <c r="E20" s="274"/>
      <c r="F20" s="274"/>
      <c r="G20" s="274"/>
      <c r="K20" s="144"/>
    </row>
    <row r="21" spans="1:11" ht="14.25" customHeight="1" x14ac:dyDescent="0.25">
      <c r="B21" s="347" t="str">
        <f>Vertaling!A258</f>
        <v>Vervoer/ transportkosten</v>
      </c>
      <c r="C21" s="348">
        <f>Liquiditeit!P25</f>
        <v>0</v>
      </c>
      <c r="D21" s="274"/>
      <c r="E21" s="274"/>
      <c r="F21" s="274"/>
      <c r="G21" s="274"/>
    </row>
    <row r="22" spans="1:11" ht="14.25" customHeight="1" x14ac:dyDescent="0.25">
      <c r="A22" s="1"/>
      <c r="B22" s="347" t="str">
        <f>Vertaling!A259</f>
        <v>Promotiekosten</v>
      </c>
      <c r="C22" s="348">
        <f>Liquiditeit!P26</f>
        <v>0</v>
      </c>
      <c r="D22" s="274"/>
      <c r="E22" s="274"/>
      <c r="F22" s="274"/>
      <c r="G22" s="274"/>
    </row>
    <row r="23" spans="1:11" ht="14.25" customHeight="1" x14ac:dyDescent="0.25">
      <c r="B23" s="347" t="str">
        <f>Vertaling!A260</f>
        <v xml:space="preserve">Overige bedrijfskosten </v>
      </c>
      <c r="C23" s="348">
        <f>Liquiditeit!P27</f>
        <v>0</v>
      </c>
      <c r="D23" s="274"/>
      <c r="E23" s="274"/>
      <c r="F23" s="274"/>
      <c r="G23" s="361"/>
    </row>
    <row r="24" spans="1:11" ht="14.25" customHeight="1" x14ac:dyDescent="0.25">
      <c r="B24" s="347" t="str">
        <f>Vertaling!A261</f>
        <v>Afschrijvingen</v>
      </c>
      <c r="C24" s="348">
        <f>SUM('Investering &amp; Financiering'!$E$5:$E$9)*0.1</f>
        <v>0</v>
      </c>
      <c r="D24" s="274"/>
      <c r="E24" s="274"/>
      <c r="F24" s="274"/>
      <c r="G24" s="274"/>
    </row>
    <row r="25" spans="1:11" ht="14.25" customHeight="1" x14ac:dyDescent="0.25">
      <c r="B25" s="280" t="str">
        <f>Vertaling!A262</f>
        <v>Totaal bedrijfskosten</v>
      </c>
      <c r="C25" s="346">
        <f>SUM(C18:C24)</f>
        <v>0</v>
      </c>
      <c r="D25" s="274"/>
      <c r="E25" s="274"/>
      <c r="F25" s="274"/>
      <c r="G25" s="274"/>
    </row>
    <row r="26" spans="1:11" ht="14.25" customHeight="1" x14ac:dyDescent="0.25">
      <c r="B26" s="353"/>
      <c r="C26" s="354"/>
      <c r="D26" s="274"/>
      <c r="E26" s="274"/>
      <c r="F26" s="274"/>
      <c r="G26" s="274"/>
    </row>
    <row r="27" spans="1:11" ht="14.25" customHeight="1" x14ac:dyDescent="0.25">
      <c r="B27" s="357" t="str">
        <f>Vertaling!A263</f>
        <v>Rente Qredits</v>
      </c>
      <c r="C27" s="358">
        <f>'Qredits maandlasten'!O17</f>
        <v>0</v>
      </c>
      <c r="D27" s="274"/>
      <c r="E27" s="274"/>
      <c r="F27" s="274"/>
      <c r="G27" s="274"/>
    </row>
    <row r="28" spans="1:11" ht="14.25" customHeight="1" x14ac:dyDescent="0.25">
      <c r="B28" s="347" t="str">
        <f>Vertaling!A264</f>
        <v>Overige rentelasten</v>
      </c>
      <c r="C28" s="348">
        <f>Liquiditeit!P30</f>
        <v>0</v>
      </c>
      <c r="D28" s="274"/>
      <c r="E28" s="274"/>
      <c r="F28" s="274"/>
      <c r="G28" s="274"/>
    </row>
    <row r="29" spans="1:11" ht="14.25" customHeight="1" x14ac:dyDescent="0.25">
      <c r="B29" s="355"/>
      <c r="C29" s="354"/>
      <c r="D29" s="274"/>
      <c r="E29" s="274"/>
      <c r="F29" s="274"/>
      <c r="G29" s="274"/>
    </row>
    <row r="30" spans="1:11" ht="14.25" customHeight="1" x14ac:dyDescent="0.25">
      <c r="B30" s="290" t="str">
        <f>Vertaling!A265</f>
        <v>Winst uit onderneming</v>
      </c>
      <c r="C30" s="360">
        <f>C16-C25-C27-C28</f>
        <v>0</v>
      </c>
      <c r="D30" s="274"/>
      <c r="E30" s="274"/>
      <c r="F30" s="274"/>
      <c r="G30" s="274"/>
    </row>
    <row r="31" spans="1:11" ht="14.25" customHeight="1" x14ac:dyDescent="0.25">
      <c r="B31" s="362"/>
      <c r="C31" s="363"/>
      <c r="D31" s="274"/>
      <c r="E31" s="274"/>
      <c r="F31" s="274"/>
      <c r="G31" s="274"/>
    </row>
    <row r="32" spans="1:11" ht="14.25" customHeight="1" x14ac:dyDescent="0.25">
      <c r="B32" s="362" t="str">
        <f>IF(VRAGENLIJST!$D$4=dropdowns!$A$6,Vertaling!A232,Vertaling!A233)</f>
        <v xml:space="preserve"> Afdracht inkomstenbelasting</v>
      </c>
      <c r="C32" s="363">
        <f>'IB VPB'!B9</f>
        <v>0</v>
      </c>
      <c r="D32" s="274"/>
      <c r="E32" s="274"/>
      <c r="F32" s="274"/>
      <c r="G32" s="274"/>
    </row>
    <row r="33" spans="2:7" ht="14.25" customHeight="1" x14ac:dyDescent="0.25">
      <c r="B33" s="355"/>
      <c r="C33" s="354"/>
      <c r="D33" s="274"/>
      <c r="E33" s="274"/>
      <c r="F33" s="274"/>
      <c r="G33" s="274"/>
    </row>
    <row r="34" spans="2:7" ht="14.25" customHeight="1" x14ac:dyDescent="0.25">
      <c r="B34" s="312" t="str">
        <f>VRAGENLIJST!$D$10</f>
        <v/>
      </c>
      <c r="C34" s="354"/>
      <c r="D34" s="274"/>
      <c r="E34" s="274"/>
      <c r="F34" s="274"/>
      <c r="G34" s="274"/>
    </row>
    <row r="35" spans="2:7" ht="14.25" customHeight="1" x14ac:dyDescent="0.25">
      <c r="B35" s="357" t="str">
        <f>Vertaling!A266</f>
        <v>Winstdeel</v>
      </c>
      <c r="C35" s="358">
        <f>($C$30-$C$32)*IF(VRAGENLIJST!$D$14="",0,VRAGENLIJST!$D$11)</f>
        <v>0</v>
      </c>
      <c r="D35" s="274"/>
      <c r="E35" s="356"/>
      <c r="F35" s="274"/>
      <c r="G35" s="274"/>
    </row>
    <row r="36" spans="2:7" ht="15" x14ac:dyDescent="0.25">
      <c r="B36" s="347" t="str">
        <f>IF(VRAGENLIJST!$D$4=dropdowns!$A$6,Vertaling!A232,Vertaling!A233)</f>
        <v xml:space="preserve"> Afdracht inkomstenbelasting</v>
      </c>
      <c r="C36" s="348">
        <f>IF(VRAGENLIJST!D4="B.V.",0,IF(C35&lt;0,0,'IB VPB'!$C$10))</f>
        <v>0</v>
      </c>
      <c r="D36" s="274"/>
      <c r="E36" s="350"/>
      <c r="F36" s="274"/>
    </row>
    <row r="37" spans="2:7" ht="14.25" customHeight="1" x14ac:dyDescent="0.25">
      <c r="B37" s="347" t="str">
        <f>Vertaling!A270</f>
        <v>Privéonttrekking</v>
      </c>
      <c r="C37" s="346">
        <f>IF(OR(VRAGENLIJST!$D$4=dropdowns!$B$6,VRAGENLIJST!$D$4=dropdowns!$C$6,VRAGENLIJST!$D$4=dropdowns!$D$6,VRAGENLIJST!$D$4=dropdowns!$E$6),"", Liquiditeit!$P$37)</f>
        <v>0</v>
      </c>
      <c r="D37" s="274"/>
      <c r="F37" s="274"/>
    </row>
    <row r="38" spans="2:7" ht="14.25" customHeight="1" x14ac:dyDescent="0.25">
      <c r="B38" s="364"/>
      <c r="C38" s="350"/>
      <c r="D38" s="274"/>
      <c r="F38" s="274"/>
    </row>
    <row r="39" spans="2:7" ht="14.25" customHeight="1" x14ac:dyDescent="0.25">
      <c r="B39" s="312" t="str">
        <f>VRAGENLIJST!$F$10</f>
        <v>Ondernemer:</v>
      </c>
      <c r="C39" s="354"/>
      <c r="D39" s="274"/>
      <c r="E39" s="274"/>
      <c r="F39" s="274"/>
      <c r="G39" s="274"/>
    </row>
    <row r="40" spans="2:7" ht="14.25" customHeight="1" x14ac:dyDescent="0.25">
      <c r="B40" s="357" t="str">
        <f>Vertaling!A266</f>
        <v>Winstdeel</v>
      </c>
      <c r="C40" s="358">
        <f>($C$30-$C$32)*IF(VRAGENLIJST!$D$14="",1,VRAGENLIJST!$F$11)</f>
        <v>0</v>
      </c>
      <c r="D40" s="274"/>
      <c r="E40" s="274"/>
      <c r="F40" s="274"/>
      <c r="G40" s="274"/>
    </row>
    <row r="41" spans="2:7" ht="15" x14ac:dyDescent="0.25">
      <c r="B41" s="357" t="str">
        <f>IF(VRAGENLIJST!$D$4=dropdowns!$A$6,Vertaling!A232,Vertaling!A233)</f>
        <v xml:space="preserve"> Afdracht inkomstenbelasting</v>
      </c>
      <c r="C41" s="348">
        <f>IF(OR(VRAGENLIJST!D4=dropdowns!$B$6,VRAGENLIJST!D4=dropdowns!$C$6,VRAGENLIJST!D4=dropdowns!$D$6,VRAGENLIJST!D4=dropdowns!$E$6),0,IF(C40&lt;0,0,'IB VPB'!$B$10))</f>
        <v>0</v>
      </c>
      <c r="D41" s="274"/>
      <c r="F41" s="274"/>
    </row>
    <row r="42" spans="2:7" ht="14.25" customHeight="1" x14ac:dyDescent="0.25">
      <c r="B42" s="357" t="str">
        <f>Vertaling!A270</f>
        <v>Privéonttrekking</v>
      </c>
      <c r="C42" s="346">
        <f>IF(OR(VRAGENLIJST!$D$4=dropdowns!$B$6,VRAGENLIJST!$D$4=dropdowns!$C$6,VRAGENLIJST!$D$4=dropdowns!$D$6,VRAGENLIJST!$D$4=dropdowns!$E$6),"", Liquiditeit!$P$40)</f>
        <v>0</v>
      </c>
      <c r="D42" s="274"/>
      <c r="E42" s="350"/>
      <c r="F42" s="274"/>
    </row>
    <row r="43" spans="2:7" ht="14.25" customHeight="1" x14ac:dyDescent="0.25">
      <c r="B43" s="364"/>
      <c r="C43" s="354"/>
      <c r="D43" s="274"/>
      <c r="E43" s="350"/>
      <c r="F43" s="274"/>
    </row>
    <row r="44" spans="2:7" ht="14.25" customHeight="1" x14ac:dyDescent="0.25">
      <c r="B44" s="290" t="str">
        <f>IF(VRAGENLIJST!$D$4=dropdowns!$A$6,Vertaling!A271,Vertaling!A272)</f>
        <v>Mutatie eigen vermogen</v>
      </c>
      <c r="C44" s="360">
        <f>IF(OR(VRAGENLIJST!D4=dropdowns!B6,VRAGENLIJST!D4=dropdowns!C6),$C$30-$C$32,IF(OR(VRAGENLIJST!D4=dropdowns!B5,VRAGENLIJST!D4=dropdowns!C5),C30-C36-C37-C41-C42,C30-C32-C41-C42))</f>
        <v>0</v>
      </c>
      <c r="D44" s="274"/>
      <c r="F44" s="274"/>
    </row>
    <row r="45" spans="2:7" ht="14.25" customHeight="1" x14ac:dyDescent="0.25">
      <c r="F45" s="274"/>
    </row>
    <row r="47" spans="2:7" ht="14.25" customHeight="1" x14ac:dyDescent="0.25">
      <c r="C47" s="350"/>
    </row>
  </sheetData>
  <sheetProtection algorithmName="SHA-512" hashValue="ldCsZm7zeMUFXD166CMe0c0nWbGoRAp63hZymmUnJpYds5nqGcRq6PebPmEZNtNKXuNRmf0e6Tt95hRm2iWiqg==" saltValue="lHyy16eWSp1tHQunajcZNA==" spinCount="100000" sheet="1" formatColumns="0"/>
  <hyperlinks>
    <hyperlink ref="I2" r:id="rId1" display="wat is dit?" xr:uid="{00000000-0004-0000-0500-000000000000}"/>
    <hyperlink ref="I4" location="VRAGENLIJST!A185" display="Klik hier om terug naar tabblad VRAGENLIJST te gaan" xr:uid="{00000000-0004-0000-0500-000001000000}"/>
  </hyperlinks>
  <pageMargins left="0.74803149606299213" right="0.74803149606299213" top="0.98425196850393704" bottom="0.98425196850393704" header="0.51181102362204722" footer="0.51181102362204722"/>
  <pageSetup paperSize="9" scale="75" firstPageNumber="0" fitToHeight="0" orientation="landscape" horizontalDpi="300" verticalDpi="300"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4" id="{1EEB2E78-702F-4AF9-B84D-BDA8892E55C2}">
            <xm:f>VRAGENLIJST!$D$4="Eenmanszaak"</xm:f>
            <x14:dxf>
              <font>
                <color theme="0"/>
              </font>
              <fill>
                <patternFill>
                  <fgColor theme="0"/>
                  <bgColor theme="0"/>
                </patternFill>
              </fill>
              <border>
                <left/>
                <right/>
                <top/>
                <bottom/>
                <vertical/>
                <horizontal/>
              </border>
            </x14:dxf>
          </x14:cfRule>
          <xm:sqref>A31:XFD32</xm:sqref>
        </x14:conditionalFormatting>
        <x14:conditionalFormatting xmlns:xm="http://schemas.microsoft.com/office/excel/2006/main">
          <x14:cfRule type="expression" priority="20" id="{BB110FAF-BDD6-44E6-A315-6AAC99F8AFD4}">
            <xm:f>VRAGENLIJST!$D$4&lt;&gt;"B.V."</xm:f>
            <x14:dxf>
              <font>
                <color theme="0"/>
              </font>
              <fill>
                <patternFill>
                  <fgColor theme="0"/>
                  <bgColor theme="0"/>
                </patternFill>
              </fill>
              <border>
                <left/>
                <right/>
                <top/>
                <bottom/>
                <vertical/>
                <horizontal/>
              </border>
            </x14:dxf>
          </x14:cfRule>
          <xm:sqref>B18:C18</xm:sqref>
        </x14:conditionalFormatting>
        <x14:conditionalFormatting xmlns:xm="http://schemas.microsoft.com/office/excel/2006/main">
          <x14:cfRule type="expression" priority="16" id="{04846CD9-CB32-4E4E-9866-D09C666B71C0}">
            <xm:f>VRAGENLIJST!$D$14=""</xm:f>
            <x14:dxf>
              <font>
                <color theme="0"/>
              </font>
              <fill>
                <patternFill>
                  <fgColor theme="0"/>
                  <bgColor theme="0"/>
                </patternFill>
              </fill>
              <border>
                <left/>
                <right/>
                <top/>
                <bottom/>
                <vertical/>
                <horizontal/>
              </border>
            </x14:dxf>
          </x14:cfRule>
          <xm:sqref>B34:C37</xm:sqref>
        </x14:conditionalFormatting>
        <x14:conditionalFormatting xmlns:xm="http://schemas.microsoft.com/office/excel/2006/main">
          <x14:cfRule type="expression" priority="19" id="{0F6A3E15-236E-4F6B-88BA-C0D74FCE53FE}">
            <xm:f>VRAGENLIJST!$D$4="B.V."</xm:f>
            <x14:dxf>
              <font>
                <color theme="0"/>
              </font>
              <fill>
                <patternFill>
                  <fgColor theme="0"/>
                </patternFill>
              </fill>
              <border>
                <left/>
                <right/>
                <top/>
                <bottom/>
                <vertical/>
                <horizontal/>
              </border>
            </x14:dxf>
          </x14:cfRule>
          <xm:sqref>B37:C37 B42:C42</xm:sqref>
        </x14:conditionalFormatting>
        <x14:conditionalFormatting xmlns:xm="http://schemas.microsoft.com/office/excel/2006/main">
          <x14:cfRule type="expression" priority="18" id="{2FA080D8-00AC-4DC1-9C6C-B0BD02F06978}">
            <xm:f>VRAGENLIJST!$D$4="B.V."</xm:f>
            <x14:dxf>
              <font>
                <color theme="0"/>
              </font>
              <fill>
                <patternFill>
                  <fgColor theme="0"/>
                </patternFill>
              </fill>
              <border>
                <left/>
                <right/>
                <top/>
                <vertical/>
                <horizontal/>
              </border>
            </x14:dxf>
          </x14:cfRule>
          <xm:sqref>F8:G8</xm:sqref>
        </x14:conditionalFormatting>
        <x14:conditionalFormatting xmlns:xm="http://schemas.microsoft.com/office/excel/2006/main">
          <x14:cfRule type="expression" priority="2" id="{F951FC41-AE1B-451A-801E-06E7AA5BA732}">
            <xm:f>VRAGENLIJST!$D$4=dropdowns!$A$6</xm:f>
            <x14:dxf>
              <font>
                <color theme="0"/>
              </font>
              <fill>
                <patternFill>
                  <bgColor theme="0"/>
                </patternFill>
              </fill>
            </x14:dxf>
          </x14:cfRule>
          <xm:sqref>G8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rgb="FF232572"/>
    <pageSetUpPr fitToPage="1"/>
  </sheetPr>
  <dimension ref="A1:R94"/>
  <sheetViews>
    <sheetView zoomScaleNormal="100" workbookViewId="0">
      <selection activeCell="J3" sqref="J3"/>
    </sheetView>
  </sheetViews>
  <sheetFormatPr defaultRowHeight="15" x14ac:dyDescent="0.25"/>
  <cols>
    <col min="1" max="1" width="3.5703125" style="3" customWidth="1"/>
    <col min="2" max="2" width="25.7109375" style="269" customWidth="1"/>
    <col min="3" max="14" width="12.7109375" style="269" customWidth="1"/>
    <col min="15" max="15" width="15.85546875" style="269" customWidth="1"/>
    <col min="16" max="16" width="2.7109375" style="401" customWidth="1"/>
    <col min="17" max="17" width="3.140625" style="269" customWidth="1"/>
    <col min="18" max="18" width="25.42578125" style="269" customWidth="1"/>
    <col min="19" max="20" width="9.140625" style="269"/>
    <col min="21" max="21" width="9.28515625" style="269" customWidth="1"/>
    <col min="22" max="16384" width="9.140625" style="269"/>
  </cols>
  <sheetData>
    <row r="1" spans="1:16" s="3" customFormat="1" ht="93" customHeight="1" x14ac:dyDescent="0.25">
      <c r="B1" s="365" t="str">
        <f>Vertaling!A284</f>
        <v>Qredits maandlasten</v>
      </c>
    </row>
    <row r="2" spans="1:16" s="3" customFormat="1" ht="18.75" customHeight="1" x14ac:dyDescent="0.25">
      <c r="B2" s="366" t="str">
        <f>Vertaling!A285</f>
        <v>Indicatie op basis van de door u ingevulde investering- en financieringsbegroting</v>
      </c>
      <c r="D2" s="14"/>
    </row>
    <row r="3" spans="1:16" x14ac:dyDescent="0.25">
      <c r="B3" s="367" t="str">
        <f>Vertaling!A286</f>
        <v>Looptijd in jaren</v>
      </c>
      <c r="C3" s="368">
        <f>'Investering &amp; Financiering'!C23</f>
        <v>0</v>
      </c>
      <c r="E3" s="301"/>
      <c r="F3" s="274"/>
      <c r="G3" s="369" t="str">
        <f>IF('Qredits maandlasten'!$C$10="Annuïteit",Vertaling!A301,IF('Qredits maandlasten'!$C$10="Lineair",Vertaling!A302,""))</f>
        <v>Bedrag annuïteit</v>
      </c>
      <c r="H3" s="370"/>
      <c r="I3" s="370"/>
      <c r="J3" s="371" t="e">
        <f>PMT(C7/12,C4-'Investering &amp; Financiering'!C25,-C5)</f>
        <v>#NUM!</v>
      </c>
      <c r="L3" s="372"/>
      <c r="M3" s="372"/>
      <c r="N3" s="372"/>
      <c r="O3" s="372"/>
      <c r="P3" s="269"/>
    </row>
    <row r="4" spans="1:16" x14ac:dyDescent="0.2">
      <c r="A4" s="1"/>
      <c r="B4" s="373" t="str">
        <f>Vertaling!A287</f>
        <v>Looptijd in maanden</v>
      </c>
      <c r="C4" s="374">
        <f>C3*12</f>
        <v>0</v>
      </c>
      <c r="D4" s="301"/>
      <c r="E4" s="301"/>
      <c r="F4" s="301"/>
      <c r="G4" s="375" t="str">
        <f>Vertaling!A303</f>
        <v>Totaal betaald gedurende de looptijd</v>
      </c>
      <c r="H4" s="376"/>
      <c r="I4" s="376"/>
      <c r="J4" s="377">
        <f>O20+O28+O36+O44+O52+O60+O68+O76+O84+O92</f>
        <v>0</v>
      </c>
      <c r="L4" s="378"/>
      <c r="M4" s="378"/>
      <c r="N4" s="378"/>
      <c r="O4" s="378"/>
      <c r="P4" s="269"/>
    </row>
    <row r="5" spans="1:16" x14ac:dyDescent="0.25">
      <c r="B5" s="373" t="str">
        <f>Vertaling!A288</f>
        <v>Lening</v>
      </c>
      <c r="C5" s="379">
        <f>'Investering &amp; Financiering'!C20</f>
        <v>0</v>
      </c>
      <c r="D5" s="301"/>
      <c r="E5" s="301"/>
      <c r="F5" s="301"/>
      <c r="G5" s="375" t="str">
        <f>Vertaling!A304</f>
        <v>Totaal aflossing</v>
      </c>
      <c r="H5" s="376"/>
      <c r="I5" s="376"/>
      <c r="J5" s="377">
        <f>O18+O27+O35+O43+O51+O59+O67+O75+O83+O91</f>
        <v>0</v>
      </c>
      <c r="K5" s="380"/>
      <c r="L5" s="378"/>
      <c r="M5" s="378"/>
      <c r="N5" s="378"/>
      <c r="O5" s="378"/>
      <c r="P5" s="269"/>
    </row>
    <row r="6" spans="1:16" x14ac:dyDescent="0.25">
      <c r="B6" s="373" t="str">
        <f>Vertaling!A289</f>
        <v>Afsluitkosten</v>
      </c>
      <c r="C6" s="381">
        <f>IF(C5&lt;1000,0,IF(C5&lt;=5000,375,IF(C5&lt;=15000,500,IF(C5&lt;=35000,650,IF(C5&lt;=50000,850,C5*0.015)))))</f>
        <v>0</v>
      </c>
      <c r="D6" s="301"/>
      <c r="E6" s="301"/>
      <c r="F6" s="301"/>
      <c r="G6" s="375" t="str">
        <f>Vertaling!A305</f>
        <v>Totaal rente</v>
      </c>
      <c r="H6" s="376"/>
      <c r="I6" s="376"/>
      <c r="J6" s="377">
        <f>O17+O26+O34+O42+O50+O58+O66+O74+O82+O90</f>
        <v>0</v>
      </c>
      <c r="L6" s="378"/>
      <c r="M6" s="378"/>
      <c r="N6" s="378"/>
      <c r="O6" s="378"/>
      <c r="P6" s="269"/>
    </row>
    <row r="7" spans="1:16" x14ac:dyDescent="0.25">
      <c r="B7" s="373" t="str">
        <f>Vertaling!A290</f>
        <v>Rente % per jaar</v>
      </c>
      <c r="C7" s="382">
        <f>'Investering &amp; Financiering'!H21</f>
        <v>9.9500000000000005E-2</v>
      </c>
      <c r="D7" s="301"/>
      <c r="E7" s="301"/>
      <c r="F7" s="301"/>
      <c r="G7" s="375" t="str">
        <f>Vertaling!A306</f>
        <v>Totaal afsluitkosten</v>
      </c>
      <c r="H7" s="376"/>
      <c r="I7" s="376"/>
      <c r="J7" s="377">
        <f>O19</f>
        <v>0</v>
      </c>
      <c r="L7" s="378"/>
      <c r="M7" s="378"/>
      <c r="N7" s="378"/>
      <c r="O7" s="378"/>
      <c r="P7" s="269"/>
    </row>
    <row r="8" spans="1:16" x14ac:dyDescent="0.25">
      <c r="B8" s="373" t="str">
        <f>Vertaling!A291</f>
        <v>Rente % per maand</v>
      </c>
      <c r="C8" s="382">
        <f>C7/12</f>
        <v>8.2916666666666677E-3</v>
      </c>
      <c r="D8" s="301"/>
      <c r="E8" s="301"/>
      <c r="F8" s="301"/>
      <c r="G8" s="301"/>
      <c r="H8" s="301"/>
      <c r="I8" s="301"/>
      <c r="J8" s="301"/>
      <c r="K8" s="383"/>
      <c r="L8" s="378"/>
      <c r="M8" s="378"/>
      <c r="N8" s="378"/>
      <c r="O8" s="378"/>
      <c r="P8" s="269"/>
    </row>
    <row r="9" spans="1:16" hidden="1" x14ac:dyDescent="0.25">
      <c r="B9" s="373" t="str">
        <f>Vertaling!A292</f>
        <v>Aflossing per maand</v>
      </c>
      <c r="C9" s="384">
        <f>C5/(C4-C11+1)</f>
        <v>0</v>
      </c>
      <c r="D9" s="301"/>
      <c r="E9" s="301"/>
      <c r="F9" s="301"/>
      <c r="G9" s="375" t="s">
        <v>53</v>
      </c>
      <c r="H9" s="376"/>
      <c r="I9" s="376"/>
      <c r="J9" s="382">
        <f ca="1">IFERROR(XIRR(Cashflow_met_kosten,Datums,0.001),0)</f>
        <v>0</v>
      </c>
      <c r="K9" s="383"/>
      <c r="L9" s="378"/>
      <c r="M9" s="378"/>
      <c r="N9" s="378"/>
      <c r="O9" s="378"/>
      <c r="P9" s="269"/>
    </row>
    <row r="10" spans="1:16" x14ac:dyDescent="0.25">
      <c r="B10" s="373" t="str">
        <f>Vertaling!A293</f>
        <v>Aflosmethode</v>
      </c>
      <c r="C10" s="384" t="str">
        <f>IF('Investering &amp; Financiering'!$C$27="",dropdowns!$A$92,'Investering &amp; Financiering'!$C$27)</f>
        <v>Annuïteit</v>
      </c>
      <c r="D10" s="301"/>
      <c r="E10" s="301"/>
      <c r="F10" s="301"/>
      <c r="G10" s="375" t="str">
        <f>Vertaling!A307</f>
        <v>Effectieve rente</v>
      </c>
      <c r="H10" s="376"/>
      <c r="I10" s="376"/>
      <c r="J10" s="382">
        <f ca="1">MIN(((1+J9)^(1/365)-1)*365,1)</f>
        <v>0</v>
      </c>
      <c r="K10" s="383"/>
      <c r="L10" s="378"/>
      <c r="M10" s="378"/>
      <c r="N10" s="378"/>
      <c r="O10" s="378"/>
      <c r="P10" s="269"/>
    </row>
    <row r="11" spans="1:16" x14ac:dyDescent="0.25">
      <c r="B11" s="373" t="str">
        <f>Vertaling!A294</f>
        <v>Maand 1e aflossing</v>
      </c>
      <c r="C11" s="385">
        <f>'Investering &amp; Financiering'!C25</f>
        <v>0</v>
      </c>
      <c r="D11" s="301"/>
      <c r="E11" s="301"/>
      <c r="F11" s="301"/>
      <c r="K11" s="383"/>
      <c r="L11" s="378"/>
      <c r="M11" s="378"/>
      <c r="N11" s="378"/>
      <c r="O11" s="378"/>
      <c r="P11" s="269"/>
    </row>
    <row r="12" spans="1:16" x14ac:dyDescent="0.25">
      <c r="B12" s="378"/>
      <c r="C12" s="386"/>
      <c r="D12" s="378"/>
      <c r="E12" s="378"/>
      <c r="F12" s="378"/>
      <c r="G12" s="378"/>
      <c r="H12" s="378"/>
      <c r="I12" s="378"/>
      <c r="J12" s="378"/>
      <c r="K12" s="378"/>
      <c r="L12" s="378"/>
      <c r="M12" s="378"/>
      <c r="N12" s="378"/>
      <c r="O12" s="378"/>
      <c r="P12" s="269"/>
    </row>
    <row r="13" spans="1:16" x14ac:dyDescent="0.25">
      <c r="B13" s="387" t="str">
        <f>Vertaling!$A$295&amp;N13/12</f>
        <v>Jaar 1</v>
      </c>
      <c r="C13" s="388">
        <v>1</v>
      </c>
      <c r="D13" s="388">
        <f t="shared" ref="D13:N13" si="0">C13+1</f>
        <v>2</v>
      </c>
      <c r="E13" s="388">
        <f t="shared" si="0"/>
        <v>3</v>
      </c>
      <c r="F13" s="388">
        <f t="shared" si="0"/>
        <v>4</v>
      </c>
      <c r="G13" s="388">
        <f t="shared" si="0"/>
        <v>5</v>
      </c>
      <c r="H13" s="388">
        <f t="shared" si="0"/>
        <v>6</v>
      </c>
      <c r="I13" s="388">
        <f t="shared" si="0"/>
        <v>7</v>
      </c>
      <c r="J13" s="388">
        <f t="shared" si="0"/>
        <v>8</v>
      </c>
      <c r="K13" s="388">
        <f t="shared" si="0"/>
        <v>9</v>
      </c>
      <c r="L13" s="388">
        <f t="shared" si="0"/>
        <v>10</v>
      </c>
      <c r="M13" s="388">
        <f t="shared" si="0"/>
        <v>11</v>
      </c>
      <c r="N13" s="388">
        <f t="shared" si="0"/>
        <v>12</v>
      </c>
      <c r="O13" s="388" t="s">
        <v>54</v>
      </c>
      <c r="P13" s="269"/>
    </row>
    <row r="14" spans="1:16" x14ac:dyDescent="0.25">
      <c r="B14" s="389"/>
      <c r="C14" s="390"/>
      <c r="D14" s="390"/>
      <c r="E14" s="390"/>
      <c r="F14" s="390"/>
      <c r="G14" s="390"/>
      <c r="H14" s="390"/>
      <c r="I14" s="390"/>
      <c r="J14" s="390"/>
      <c r="K14" s="390"/>
      <c r="L14" s="390"/>
      <c r="M14" s="390"/>
      <c r="N14" s="390"/>
      <c r="O14" s="390"/>
      <c r="P14" s="269"/>
    </row>
    <row r="15" spans="1:16" x14ac:dyDescent="0.25">
      <c r="B15" s="391" t="str">
        <f>Vertaling!$A$296</f>
        <v>Bedrag lening begin maand</v>
      </c>
      <c r="C15" s="392">
        <f>C5</f>
        <v>0</v>
      </c>
      <c r="D15" s="393">
        <f t="shared" ref="D15:N15" si="1">C15-C18</f>
        <v>0</v>
      </c>
      <c r="E15" s="393">
        <f t="shared" si="1"/>
        <v>0</v>
      </c>
      <c r="F15" s="393">
        <f t="shared" si="1"/>
        <v>0</v>
      </c>
      <c r="G15" s="393">
        <f t="shared" si="1"/>
        <v>0</v>
      </c>
      <c r="H15" s="393">
        <f t="shared" si="1"/>
        <v>0</v>
      </c>
      <c r="I15" s="393">
        <f t="shared" si="1"/>
        <v>0</v>
      </c>
      <c r="J15" s="393">
        <f t="shared" si="1"/>
        <v>0</v>
      </c>
      <c r="K15" s="393">
        <f t="shared" si="1"/>
        <v>0</v>
      </c>
      <c r="L15" s="393">
        <f t="shared" si="1"/>
        <v>0</v>
      </c>
      <c r="M15" s="393">
        <f t="shared" si="1"/>
        <v>0</v>
      </c>
      <c r="N15" s="393">
        <f t="shared" si="1"/>
        <v>0</v>
      </c>
      <c r="O15" s="394"/>
      <c r="P15" s="269"/>
    </row>
    <row r="16" spans="1:16" x14ac:dyDescent="0.25">
      <c r="B16" s="391"/>
      <c r="C16" s="391"/>
      <c r="D16" s="391"/>
      <c r="E16" s="391"/>
      <c r="F16" s="391"/>
      <c r="G16" s="391"/>
      <c r="H16" s="391"/>
      <c r="I16" s="391"/>
      <c r="J16" s="391"/>
      <c r="K16" s="391"/>
      <c r="L16" s="391"/>
      <c r="M16" s="391"/>
      <c r="N16" s="391"/>
      <c r="O16" s="391"/>
      <c r="P16" s="269"/>
    </row>
    <row r="17" spans="2:16" x14ac:dyDescent="0.25">
      <c r="B17" s="391" t="str">
        <f>Vertaling!$A$297</f>
        <v>Kosten rente per maand</v>
      </c>
      <c r="C17" s="393">
        <f>IF(C15&lt;0.001,0,$C$8*C15)</f>
        <v>0</v>
      </c>
      <c r="D17" s="393">
        <f t="shared" ref="D17:N17" si="2">IF(D15&lt;0.001,0,$C$8*D15)</f>
        <v>0</v>
      </c>
      <c r="E17" s="393">
        <f t="shared" si="2"/>
        <v>0</v>
      </c>
      <c r="F17" s="393">
        <f t="shared" si="2"/>
        <v>0</v>
      </c>
      <c r="G17" s="393">
        <f t="shared" si="2"/>
        <v>0</v>
      </c>
      <c r="H17" s="393">
        <f t="shared" si="2"/>
        <v>0</v>
      </c>
      <c r="I17" s="393">
        <f t="shared" si="2"/>
        <v>0</v>
      </c>
      <c r="J17" s="393">
        <f t="shared" si="2"/>
        <v>0</v>
      </c>
      <c r="K17" s="393">
        <f t="shared" si="2"/>
        <v>0</v>
      </c>
      <c r="L17" s="393">
        <f t="shared" si="2"/>
        <v>0</v>
      </c>
      <c r="M17" s="393">
        <f t="shared" si="2"/>
        <v>0</v>
      </c>
      <c r="N17" s="393">
        <f t="shared" si="2"/>
        <v>0</v>
      </c>
      <c r="O17" s="394">
        <f>SUM(C17:N17)</f>
        <v>0</v>
      </c>
      <c r="P17" s="269"/>
    </row>
    <row r="18" spans="2:16" x14ac:dyDescent="0.25">
      <c r="B18" s="391" t="str">
        <f>Vertaling!$A$298</f>
        <v>Aflossing per maand</v>
      </c>
      <c r="C18" s="393">
        <f>IF(C15&lt;0.001,0,IF(C13&lt;($C$11+1),0,IF(OR($C$10=dropdowns!$B$93,$C$10=dropdowns!$C$93,$C$10=dropdowns!$D$93,$C$10=dropdowns!$E$93),$C$9,IF(OR($C$10=dropdowns!$B$92,$C$10=dropdowns!$C$92,$C$10=dropdowns!$D$92,$C$10=dropdowns!$E$92),IFERROR((C17/(1-(1+$C$7/12)^-($C$4-0)))-C17,0),0))))</f>
        <v>0</v>
      </c>
      <c r="D18" s="393">
        <f>IF(D15&lt;0.001,0,IF(D13&lt;$C$11+1,0,IF(OR($C$10=dropdowns!$B$93,$C$10=dropdowns!$C$93,$C$10=dropdowns!$D$93,$C$10=dropdowns!$E$93),$C$9,IF(OR($C$10=dropdowns!$B$92,$C$10=dropdowns!$C$92,$C$10=dropdowns!$D$92,$C$10=dropdowns!$E$92),IFERROR((D17/(1-(1+$C$7/12)^-($C$4-C13)))-D17,0),0))))</f>
        <v>0</v>
      </c>
      <c r="E18" s="393">
        <f>IF(E15&lt;0.001,0,IF(E13&lt;$C$11+1,0,IF(OR($C$10=dropdowns!$B$93,$C$10=dropdowns!$C$93,$C$10=dropdowns!$D$93,$C$10=dropdowns!$E$93),$C$9,IF(OR($C$10=dropdowns!$B$92,$C$10=dropdowns!$C$92,$C$10=dropdowns!$D$92,$C$10=dropdowns!$E$92),IFERROR((E17/(1-(1+$C$7/12)^-($C$4-D13)))-E17,0),0))))</f>
        <v>0</v>
      </c>
      <c r="F18" s="393">
        <f>IF(F15&lt;0.001,0,IF(F13&lt;$C$11+1,0,IF(OR($C$10=dropdowns!$B$93,$C$10=dropdowns!$C$93,$C$10=dropdowns!$D$93,$C$10=dropdowns!$E$93),$C$9,IF(OR($C$10=dropdowns!$B$92,$C$10=dropdowns!$C$92,$C$10=dropdowns!$D$92,$C$10=dropdowns!$E$92),IFERROR((F17/(1-(1+$C$7/12)^-($C$4-E13)))-F17,0),0))))</f>
        <v>0</v>
      </c>
      <c r="G18" s="393">
        <f>IF(G15&lt;0.001,0,IF(G13&lt;$C$11+1,0,IF(OR($C$10=dropdowns!$B$93,$C$10=dropdowns!$C$93,$C$10=dropdowns!$D$93,$C$10=dropdowns!$E$93),$C$9,IF(OR($C$10=dropdowns!$B$92,$C$10=dropdowns!$C$92,$C$10=dropdowns!$D$92,$C$10=dropdowns!$E$92),IFERROR((G17/(1-(1+$C$7/12)^-($C$4-F13)))-G17,0),0))))</f>
        <v>0</v>
      </c>
      <c r="H18" s="393">
        <f>IF(H15&lt;0.001,0,IF(H13&lt;$C$11+1,0,IF(OR($C$10=dropdowns!$B$93,$C$10=dropdowns!$C$93,$C$10=dropdowns!$D$93,$C$10=dropdowns!$E$93),$C$9,IF(OR($C$10=dropdowns!$B$92,$C$10=dropdowns!$C$92,$C$10=dropdowns!$D$92,$C$10=dropdowns!$E$92),IFERROR((H17/(1-(1+$C$7/12)^-($C$4-G13)))-H17,0),0))))</f>
        <v>0</v>
      </c>
      <c r="I18" s="393">
        <f>IF(I15&lt;0.001,0,IF(I13&lt;$C$11+1,0,IF(OR($C$10=dropdowns!$B$93,$C$10=dropdowns!$C$93,$C$10=dropdowns!$D$93,$C$10=dropdowns!$E$93),$C$9,IF(OR($C$10=dropdowns!$B$92,$C$10=dropdowns!$C$92,$C$10=dropdowns!$D$92,$C$10=dropdowns!$E$92),IFERROR((I17/(1-(1+$C$7/12)^-($C$4-H13)))-I17,0),0))))</f>
        <v>0</v>
      </c>
      <c r="J18" s="393">
        <f>IF(J15&lt;0.001,0,IF(J13&lt;$C$11+1,0,IF(OR($C$10=dropdowns!$B$93,$C$10=dropdowns!$C$93,$C$10=dropdowns!$D$93,$C$10=dropdowns!$E$93),$C$9,IF(OR($C$10=dropdowns!$B$92,$C$10=dropdowns!$C$92,$C$10=dropdowns!$D$92,$C$10=dropdowns!$E$92),IFERROR((J17/(1-(1+$C$7/12)^-($C$4-I13)))-J17,0),0))))</f>
        <v>0</v>
      </c>
      <c r="K18" s="393">
        <f>IF(K15&lt;0.001,0,IF(K13&lt;$C$11+1,0,IF(OR($C$10=dropdowns!$B$93,$C$10=dropdowns!$C$93,$C$10=dropdowns!$D$93,$C$10=dropdowns!$E$93),$C$9,IF(OR($C$10=dropdowns!$B$92,$C$10=dropdowns!$C$92,$C$10=dropdowns!$D$92,$C$10=dropdowns!$E$92),IFERROR((K17/(1-(1+$C$7/12)^-($C$4-J13)))-K17,0),0))))</f>
        <v>0</v>
      </c>
      <c r="L18" s="393">
        <f>IF(L15&lt;0.001,0,IF(L13&lt;$C$11+1,0,IF(OR($C$10=dropdowns!$B$93,$C$10=dropdowns!$C$93,$C$10=dropdowns!$D$93,$C$10=dropdowns!$E$93),$C$9,IF(OR($C$10=dropdowns!$B$92,$C$10=dropdowns!$C$92,$C$10=dropdowns!$D$92,$C$10=dropdowns!$E$92),IFERROR((L17/(1-(1+$C$7/12)^-($C$4-K13)))-L17,0),0))))</f>
        <v>0</v>
      </c>
      <c r="M18" s="393">
        <f>IF(M15&lt;0.001,0,IF(M13&lt;$C$11+1,0,IF(OR($C$10=dropdowns!$B$93,$C$10=dropdowns!$C$93,$C$10=dropdowns!$D$93,$C$10=dropdowns!$E$93),$C$9,IF(OR($C$10=dropdowns!$B$92,$C$10=dropdowns!$C$92,$C$10=dropdowns!$D$92,$C$10=dropdowns!$E$92),IFERROR((M17/(1-(1+$C$7/12)^-($C$4-L13)))-M17,0),0))))</f>
        <v>0</v>
      </c>
      <c r="N18" s="393">
        <f>IF(N15&lt;0.001,0,IF(N13&lt;$C$11+1,0,IF(OR($C$10=dropdowns!$B$93,$C$10=dropdowns!$C$93,$C$10=dropdowns!$D$93,$C$10=dropdowns!$E$93),$C$9,IF(OR($C$10=dropdowns!$B$92,$C$10=dropdowns!$C$92,$C$10=dropdowns!$D$92,$C$10=dropdowns!$E$92),IFERROR((N17/(1-(1+$C$7/12)^-($C$4-M13)))-N17,0),0))))</f>
        <v>0</v>
      </c>
      <c r="O18" s="394">
        <f>SUM(C18:N18)</f>
        <v>0</v>
      </c>
      <c r="P18" s="269"/>
    </row>
    <row r="19" spans="2:16" x14ac:dyDescent="0.25">
      <c r="B19" s="395" t="str">
        <f>Vertaling!$A$299</f>
        <v>Afsluitkosten</v>
      </c>
      <c r="C19" s="396">
        <f>C6</f>
        <v>0</v>
      </c>
      <c r="D19" s="396"/>
      <c r="E19" s="396"/>
      <c r="F19" s="396"/>
      <c r="G19" s="396"/>
      <c r="H19" s="396"/>
      <c r="I19" s="396"/>
      <c r="J19" s="396"/>
      <c r="K19" s="396"/>
      <c r="L19" s="396"/>
      <c r="M19" s="396"/>
      <c r="N19" s="396"/>
      <c r="O19" s="397">
        <f>SUM(C19:N19)</f>
        <v>0</v>
      </c>
      <c r="P19" s="269"/>
    </row>
    <row r="20" spans="2:16" x14ac:dyDescent="0.25">
      <c r="B20" s="398" t="str">
        <f>Vertaling!$A$300</f>
        <v>Te betalen per maand</v>
      </c>
      <c r="C20" s="399">
        <f t="shared" ref="C20:N20" si="3">SUM(C17:C19)</f>
        <v>0</v>
      </c>
      <c r="D20" s="399">
        <f t="shared" si="3"/>
        <v>0</v>
      </c>
      <c r="E20" s="399">
        <f t="shared" si="3"/>
        <v>0</v>
      </c>
      <c r="F20" s="399">
        <f t="shared" si="3"/>
        <v>0</v>
      </c>
      <c r="G20" s="399">
        <f t="shared" si="3"/>
        <v>0</v>
      </c>
      <c r="H20" s="399">
        <f t="shared" si="3"/>
        <v>0</v>
      </c>
      <c r="I20" s="399">
        <f t="shared" si="3"/>
        <v>0</v>
      </c>
      <c r="J20" s="399">
        <f t="shared" si="3"/>
        <v>0</v>
      </c>
      <c r="K20" s="399">
        <f t="shared" si="3"/>
        <v>0</v>
      </c>
      <c r="L20" s="399">
        <f t="shared" si="3"/>
        <v>0</v>
      </c>
      <c r="M20" s="399">
        <f t="shared" si="3"/>
        <v>0</v>
      </c>
      <c r="N20" s="399">
        <f t="shared" si="3"/>
        <v>0</v>
      </c>
      <c r="O20" s="400">
        <f>SUM(C20:N20)</f>
        <v>0</v>
      </c>
      <c r="P20" s="269"/>
    </row>
    <row r="21" spans="2:16" x14ac:dyDescent="0.25">
      <c r="B21" s="372"/>
      <c r="C21" s="372"/>
      <c r="D21" s="372"/>
      <c r="E21" s="372"/>
      <c r="F21" s="372"/>
      <c r="G21" s="372"/>
      <c r="H21" s="372"/>
      <c r="I21" s="372"/>
      <c r="J21" s="372"/>
      <c r="K21" s="372"/>
      <c r="L21" s="372"/>
      <c r="M21" s="372"/>
      <c r="N21" s="372"/>
      <c r="O21" s="372"/>
      <c r="P21" s="269"/>
    </row>
    <row r="22" spans="2:16" x14ac:dyDescent="0.25">
      <c r="B22" s="387" t="str">
        <f>Vertaling!$A$295&amp;N22/12</f>
        <v>Jaar 2</v>
      </c>
      <c r="C22" s="388">
        <f>N13+1</f>
        <v>13</v>
      </c>
      <c r="D22" s="388">
        <f t="shared" ref="D22:N22" si="4">C22+1</f>
        <v>14</v>
      </c>
      <c r="E22" s="388">
        <f t="shared" si="4"/>
        <v>15</v>
      </c>
      <c r="F22" s="388">
        <f t="shared" si="4"/>
        <v>16</v>
      </c>
      <c r="G22" s="388">
        <f t="shared" si="4"/>
        <v>17</v>
      </c>
      <c r="H22" s="388">
        <f t="shared" si="4"/>
        <v>18</v>
      </c>
      <c r="I22" s="388">
        <f t="shared" si="4"/>
        <v>19</v>
      </c>
      <c r="J22" s="388">
        <f t="shared" si="4"/>
        <v>20</v>
      </c>
      <c r="K22" s="388">
        <f t="shared" si="4"/>
        <v>21</v>
      </c>
      <c r="L22" s="388">
        <f t="shared" si="4"/>
        <v>22</v>
      </c>
      <c r="M22" s="388">
        <f t="shared" si="4"/>
        <v>23</v>
      </c>
      <c r="N22" s="388">
        <f t="shared" si="4"/>
        <v>24</v>
      </c>
      <c r="O22" s="388" t="s">
        <v>54</v>
      </c>
      <c r="P22" s="269"/>
    </row>
    <row r="23" spans="2:16" x14ac:dyDescent="0.25">
      <c r="B23" s="389"/>
      <c r="C23" s="390"/>
      <c r="D23" s="390"/>
      <c r="E23" s="390"/>
      <c r="F23" s="390"/>
      <c r="G23" s="390"/>
      <c r="H23" s="390"/>
      <c r="I23" s="390"/>
      <c r="J23" s="390"/>
      <c r="K23" s="390"/>
      <c r="L23" s="390"/>
      <c r="M23" s="390"/>
      <c r="N23" s="390"/>
      <c r="O23" s="390"/>
      <c r="P23" s="269"/>
    </row>
    <row r="24" spans="2:16" x14ac:dyDescent="0.25">
      <c r="B24" s="391" t="str">
        <f>Vertaling!$A$296</f>
        <v>Bedrag lening begin maand</v>
      </c>
      <c r="C24" s="392">
        <f>N15-N18</f>
        <v>0</v>
      </c>
      <c r="D24" s="393">
        <f t="shared" ref="D24:N24" si="5">C24-C27</f>
        <v>0</v>
      </c>
      <c r="E24" s="393">
        <f t="shared" si="5"/>
        <v>0</v>
      </c>
      <c r="F24" s="393">
        <f t="shared" si="5"/>
        <v>0</v>
      </c>
      <c r="G24" s="393">
        <f t="shared" si="5"/>
        <v>0</v>
      </c>
      <c r="H24" s="393">
        <f t="shared" si="5"/>
        <v>0</v>
      </c>
      <c r="I24" s="393">
        <f t="shared" si="5"/>
        <v>0</v>
      </c>
      <c r="J24" s="393">
        <f t="shared" si="5"/>
        <v>0</v>
      </c>
      <c r="K24" s="393">
        <f t="shared" si="5"/>
        <v>0</v>
      </c>
      <c r="L24" s="393">
        <f t="shared" si="5"/>
        <v>0</v>
      </c>
      <c r="M24" s="393">
        <f t="shared" si="5"/>
        <v>0</v>
      </c>
      <c r="N24" s="393">
        <f t="shared" si="5"/>
        <v>0</v>
      </c>
      <c r="O24" s="394"/>
      <c r="P24" s="269"/>
    </row>
    <row r="25" spans="2:16" x14ac:dyDescent="0.25">
      <c r="B25" s="391"/>
      <c r="C25" s="391"/>
      <c r="D25" s="391"/>
      <c r="E25" s="391"/>
      <c r="F25" s="391"/>
      <c r="G25" s="391"/>
      <c r="H25" s="391"/>
      <c r="I25" s="391"/>
      <c r="J25" s="391"/>
      <c r="K25" s="391"/>
      <c r="L25" s="391"/>
      <c r="M25" s="391"/>
      <c r="N25" s="391"/>
      <c r="O25" s="391"/>
      <c r="P25" s="269"/>
    </row>
    <row r="26" spans="2:16" x14ac:dyDescent="0.25">
      <c r="B26" s="391" t="str">
        <f>Vertaling!$A$297</f>
        <v>Kosten rente per maand</v>
      </c>
      <c r="C26" s="393">
        <f t="shared" ref="C26:N26" si="6">IF(C24&lt;0.001,0,$C$8*C24)</f>
        <v>0</v>
      </c>
      <c r="D26" s="393">
        <f t="shared" si="6"/>
        <v>0</v>
      </c>
      <c r="E26" s="393">
        <f t="shared" si="6"/>
        <v>0</v>
      </c>
      <c r="F26" s="393">
        <f t="shared" si="6"/>
        <v>0</v>
      </c>
      <c r="G26" s="393">
        <f t="shared" si="6"/>
        <v>0</v>
      </c>
      <c r="H26" s="393">
        <f t="shared" si="6"/>
        <v>0</v>
      </c>
      <c r="I26" s="393">
        <f t="shared" si="6"/>
        <v>0</v>
      </c>
      <c r="J26" s="393">
        <f t="shared" si="6"/>
        <v>0</v>
      </c>
      <c r="K26" s="393">
        <f t="shared" si="6"/>
        <v>0</v>
      </c>
      <c r="L26" s="393">
        <f t="shared" si="6"/>
        <v>0</v>
      </c>
      <c r="M26" s="393">
        <f t="shared" si="6"/>
        <v>0</v>
      </c>
      <c r="N26" s="393">
        <f t="shared" si="6"/>
        <v>0</v>
      </c>
      <c r="O26" s="394">
        <f>SUM(C26:N26)</f>
        <v>0</v>
      </c>
      <c r="P26" s="269"/>
    </row>
    <row r="27" spans="2:16" x14ac:dyDescent="0.25">
      <c r="B27" s="391" t="str">
        <f>Vertaling!$A$298</f>
        <v>Aflossing per maand</v>
      </c>
      <c r="C27" s="393">
        <f>IF(C24&lt;0.001,0,IF(C22&lt;$C$11,0,IF(OR($C$10=dropdowns!$B$93,$C$10=dropdowns!$C$93,$C$10=dropdowns!$D$93,$C$10=dropdowns!$E$93),$C$9,IF(OR($C$10=dropdowns!$B$92,$C$10=dropdowns!$C$92,$C$10=dropdowns!$D$92,$C$10=dropdowns!$E$92),IFERROR((C26/(1-(1+$C$7/12)^-($C$4-N13)))-C26,0),0))))</f>
        <v>0</v>
      </c>
      <c r="D27" s="393">
        <f>IF(D24&lt;0.001,0,IF(D22&lt;$C$11,0,IF(OR($C$10=dropdowns!$B$93,$C$10=dropdowns!$C$93,$C$10=dropdowns!$D$93,$C$10=dropdowns!$E$93),$C$9,IF(OR($C$10=dropdowns!$B$92,$C$10=dropdowns!$C$92,$C$10=dropdowns!$D$92,$C$10=dropdowns!$E$92),IFERROR((D26/(1-(1+$C$7/12)^-($C$4-C22)))-D26,0),0))))</f>
        <v>0</v>
      </c>
      <c r="E27" s="393">
        <f>IF(E24&lt;0.001,0,IF(E22&lt;$C$11,0,IF(OR($C$10=dropdowns!$B$93,$C$10=dropdowns!$C$93,$C$10=dropdowns!$D$93,$C$10=dropdowns!$E$93),$C$9,IF(OR($C$10=dropdowns!$B$92,$C$10=dropdowns!$C$92,$C$10=dropdowns!$D$92,$C$10=dropdowns!$E$92),IFERROR((E26/(1-(1+$C$7/12)^-($C$4-D22)))-E26,0),0))))</f>
        <v>0</v>
      </c>
      <c r="F27" s="393">
        <f>IF(F24&lt;0.001,0,IF(F22&lt;$C$11,0,IF(OR($C$10=dropdowns!$B$93,$C$10=dropdowns!$C$93,$C$10=dropdowns!$D$93,$C$10=dropdowns!$E$93),$C$9,IF(OR($C$10=dropdowns!$B$92,$C$10=dropdowns!$C$92,$C$10=dropdowns!$D$92,$C$10=dropdowns!$E$92),IFERROR((F26/(1-(1+$C$7/12)^-($C$4-E22)))-F26,0),0))))</f>
        <v>0</v>
      </c>
      <c r="G27" s="393">
        <f>IF(G24&lt;0.001,0,IF(G22&lt;$C$11,0,IF(OR($C$10=dropdowns!$B$93,$C$10=dropdowns!$C$93,$C$10=dropdowns!$D$93,$C$10=dropdowns!$E$93),$C$9,IF(OR($C$10=dropdowns!$B$92,$C$10=dropdowns!$C$92,$C$10=dropdowns!$D$92,$C$10=dropdowns!$E$92),IFERROR((G26/(1-(1+$C$7/12)^-($C$4-F22)))-G26,0),0))))</f>
        <v>0</v>
      </c>
      <c r="H27" s="393">
        <f>IF(H24&lt;0.001,0,IF(H22&lt;$C$11,0,IF(OR($C$10=dropdowns!$B$93,$C$10=dropdowns!$C$93,$C$10=dropdowns!$D$93,$C$10=dropdowns!$E$93),$C$9,IF(OR($C$10=dropdowns!$B$92,$C$10=dropdowns!$C$92,$C$10=dropdowns!$D$92,$C$10=dropdowns!$E$92),IFERROR((H26/(1-(1+$C$7/12)^-($C$4-G22)))-H26,0),0))))</f>
        <v>0</v>
      </c>
      <c r="I27" s="393">
        <f>IF(I24&lt;0.001,0,IF(I22&lt;$C$11,0,IF(OR($C$10=dropdowns!$B$93,$C$10=dropdowns!$C$93,$C$10=dropdowns!$D$93,$C$10=dropdowns!$E$93),$C$9,IF(OR($C$10=dropdowns!$B$92,$C$10=dropdowns!$C$92,$C$10=dropdowns!$D$92,$C$10=dropdowns!$E$92),IFERROR((I26/(1-(1+$C$7/12)^-($C$4-H22)))-I26,0),0))))</f>
        <v>0</v>
      </c>
      <c r="J27" s="393">
        <f>IF(J24&lt;0.001,0,IF(J22&lt;$C$11,0,IF(OR($C$10=dropdowns!$B$93,$C$10=dropdowns!$C$93,$C$10=dropdowns!$D$93,$C$10=dropdowns!$E$93),$C$9,IF(OR($C$10=dropdowns!$B$92,$C$10=dropdowns!$C$92,$C$10=dropdowns!$D$92,$C$10=dropdowns!$E$92),IFERROR((J26/(1-(1+$C$7/12)^-($C$4-I22)))-J26,0),0))))</f>
        <v>0</v>
      </c>
      <c r="K27" s="393">
        <f>IF(K24&lt;0.001,0,IF(K22&lt;$C$11,0,IF(OR($C$10=dropdowns!$B$93,$C$10=dropdowns!$C$93,$C$10=dropdowns!$D$93,$C$10=dropdowns!$E$93),$C$9,IF(OR($C$10=dropdowns!$B$92,$C$10=dropdowns!$C$92,$C$10=dropdowns!$D$92,$C$10=dropdowns!$E$92),IFERROR((K26/(1-(1+$C$7/12)^-($C$4-J22)))-K26,0),0))))</f>
        <v>0</v>
      </c>
      <c r="L27" s="393">
        <f>IF(L24&lt;0.001,0,IF(L22&lt;$C$11,0,IF(OR($C$10=dropdowns!$B$93,$C$10=dropdowns!$C$93,$C$10=dropdowns!$D$93,$C$10=dropdowns!$E$93),$C$9,IF(OR($C$10=dropdowns!$B$92,$C$10=dropdowns!$C$92,$C$10=dropdowns!$D$92,$C$10=dropdowns!$E$92),IFERROR((L26/(1-(1+$C$7/12)^-($C$4-K22)))-L26,0),0))))</f>
        <v>0</v>
      </c>
      <c r="M27" s="393">
        <f>IF(M24&lt;0.001,0,IF(M22&lt;$C$11,0,IF(OR($C$10=dropdowns!$B$93,$C$10=dropdowns!$C$93,$C$10=dropdowns!$D$93,$C$10=dropdowns!$E$93),$C$9,IF(OR($C$10=dropdowns!$B$92,$C$10=dropdowns!$C$92,$C$10=dropdowns!$D$92,$C$10=dropdowns!$E$92),IFERROR((M26/(1-(1+$C$7/12)^-($C$4-L22)))-M26,0),0))))</f>
        <v>0</v>
      </c>
      <c r="N27" s="393">
        <f>IF(N24&lt;0.001,0,IF(N22&lt;$C$11,0,IF(OR($C$10=dropdowns!$B$93,$C$10=dropdowns!$C$93,$C$10=dropdowns!$D$93,$C$10=dropdowns!$E$93),$C$9,IF(OR($C$10=dropdowns!$B$92,$C$10=dropdowns!$C$92,$C$10=dropdowns!$D$92,$C$10=dropdowns!$E$92),IFERROR((N26/(1-(1+$C$7/12)^-($C$4-M22)))-N26,0),0))))</f>
        <v>0</v>
      </c>
      <c r="O27" s="394">
        <f>SUM(C27:N27)</f>
        <v>0</v>
      </c>
      <c r="P27" s="269"/>
    </row>
    <row r="28" spans="2:16" x14ac:dyDescent="0.25">
      <c r="B28" s="398" t="str">
        <f>Vertaling!$A$300</f>
        <v>Te betalen per maand</v>
      </c>
      <c r="C28" s="399">
        <f t="shared" ref="C28:N28" si="7">SUM(C26:C27)</f>
        <v>0</v>
      </c>
      <c r="D28" s="399">
        <f t="shared" si="7"/>
        <v>0</v>
      </c>
      <c r="E28" s="399">
        <f t="shared" si="7"/>
        <v>0</v>
      </c>
      <c r="F28" s="399">
        <f t="shared" si="7"/>
        <v>0</v>
      </c>
      <c r="G28" s="399">
        <f t="shared" si="7"/>
        <v>0</v>
      </c>
      <c r="H28" s="399">
        <f t="shared" si="7"/>
        <v>0</v>
      </c>
      <c r="I28" s="399">
        <f t="shared" si="7"/>
        <v>0</v>
      </c>
      <c r="J28" s="399">
        <f t="shared" si="7"/>
        <v>0</v>
      </c>
      <c r="K28" s="399">
        <f t="shared" si="7"/>
        <v>0</v>
      </c>
      <c r="L28" s="399">
        <f t="shared" si="7"/>
        <v>0</v>
      </c>
      <c r="M28" s="399">
        <f t="shared" si="7"/>
        <v>0</v>
      </c>
      <c r="N28" s="399">
        <f t="shared" si="7"/>
        <v>0</v>
      </c>
      <c r="O28" s="400">
        <f>SUM(C28:N28)</f>
        <v>0</v>
      </c>
      <c r="P28" s="269"/>
    </row>
    <row r="29" spans="2:16" x14ac:dyDescent="0.25">
      <c r="B29" s="372"/>
      <c r="C29" s="372"/>
      <c r="D29" s="372"/>
      <c r="E29" s="372"/>
      <c r="F29" s="372"/>
      <c r="G29" s="372"/>
      <c r="H29" s="372"/>
      <c r="I29" s="372"/>
      <c r="J29" s="372"/>
      <c r="K29" s="372"/>
      <c r="L29" s="372"/>
      <c r="M29" s="372"/>
      <c r="N29" s="372"/>
      <c r="O29" s="372"/>
      <c r="P29" s="269"/>
    </row>
    <row r="30" spans="2:16" x14ac:dyDescent="0.25">
      <c r="B30" s="387" t="str">
        <f>Vertaling!$A$295&amp;N30/12</f>
        <v>Jaar 3</v>
      </c>
      <c r="C30" s="388">
        <f>N22+1</f>
        <v>25</v>
      </c>
      <c r="D30" s="388">
        <f t="shared" ref="D30:N30" si="8">C30+1</f>
        <v>26</v>
      </c>
      <c r="E30" s="388">
        <f t="shared" si="8"/>
        <v>27</v>
      </c>
      <c r="F30" s="388">
        <f t="shared" si="8"/>
        <v>28</v>
      </c>
      <c r="G30" s="388">
        <f t="shared" si="8"/>
        <v>29</v>
      </c>
      <c r="H30" s="388">
        <f t="shared" si="8"/>
        <v>30</v>
      </c>
      <c r="I30" s="388">
        <f t="shared" si="8"/>
        <v>31</v>
      </c>
      <c r="J30" s="388">
        <f t="shared" si="8"/>
        <v>32</v>
      </c>
      <c r="K30" s="388">
        <f t="shared" si="8"/>
        <v>33</v>
      </c>
      <c r="L30" s="388">
        <f t="shared" si="8"/>
        <v>34</v>
      </c>
      <c r="M30" s="388">
        <f t="shared" si="8"/>
        <v>35</v>
      </c>
      <c r="N30" s="388">
        <f t="shared" si="8"/>
        <v>36</v>
      </c>
      <c r="O30" s="388" t="s">
        <v>54</v>
      </c>
      <c r="P30" s="269"/>
    </row>
    <row r="31" spans="2:16" x14ac:dyDescent="0.25">
      <c r="B31" s="389"/>
      <c r="C31" s="390"/>
      <c r="D31" s="390"/>
      <c r="E31" s="390"/>
      <c r="F31" s="390"/>
      <c r="G31" s="390"/>
      <c r="H31" s="390"/>
      <c r="I31" s="390"/>
      <c r="J31" s="390"/>
      <c r="K31" s="390"/>
      <c r="L31" s="390"/>
      <c r="M31" s="390"/>
      <c r="N31" s="390"/>
      <c r="O31" s="390"/>
      <c r="P31" s="269"/>
    </row>
    <row r="32" spans="2:16" x14ac:dyDescent="0.25">
      <c r="B32" s="391" t="str">
        <f>Vertaling!$A$296</f>
        <v>Bedrag lening begin maand</v>
      </c>
      <c r="C32" s="392">
        <f>N24-N27</f>
        <v>0</v>
      </c>
      <c r="D32" s="393">
        <f t="shared" ref="D32:N32" si="9">C32-C35</f>
        <v>0</v>
      </c>
      <c r="E32" s="393">
        <f t="shared" si="9"/>
        <v>0</v>
      </c>
      <c r="F32" s="393">
        <f t="shared" si="9"/>
        <v>0</v>
      </c>
      <c r="G32" s="393">
        <f t="shared" si="9"/>
        <v>0</v>
      </c>
      <c r="H32" s="393">
        <f t="shared" si="9"/>
        <v>0</v>
      </c>
      <c r="I32" s="393">
        <f t="shared" si="9"/>
        <v>0</v>
      </c>
      <c r="J32" s="393">
        <f t="shared" si="9"/>
        <v>0</v>
      </c>
      <c r="K32" s="393">
        <f t="shared" si="9"/>
        <v>0</v>
      </c>
      <c r="L32" s="393">
        <f t="shared" si="9"/>
        <v>0</v>
      </c>
      <c r="M32" s="393">
        <f t="shared" si="9"/>
        <v>0</v>
      </c>
      <c r="N32" s="393">
        <f t="shared" si="9"/>
        <v>0</v>
      </c>
      <c r="O32" s="394"/>
      <c r="P32" s="269"/>
    </row>
    <row r="33" spans="2:16" x14ac:dyDescent="0.25">
      <c r="B33" s="391"/>
      <c r="C33" s="391"/>
      <c r="D33" s="391"/>
      <c r="E33" s="391"/>
      <c r="F33" s="391"/>
      <c r="G33" s="391"/>
      <c r="H33" s="391"/>
      <c r="I33" s="391"/>
      <c r="J33" s="391"/>
      <c r="K33" s="391"/>
      <c r="L33" s="391"/>
      <c r="M33" s="391"/>
      <c r="N33" s="391"/>
      <c r="O33" s="391"/>
      <c r="P33" s="269"/>
    </row>
    <row r="34" spans="2:16" x14ac:dyDescent="0.25">
      <c r="B34" s="391" t="str">
        <f>Vertaling!$A$297</f>
        <v>Kosten rente per maand</v>
      </c>
      <c r="C34" s="393">
        <f t="shared" ref="C34:N34" si="10">IF(C32&lt;0.001,0,$C$8*C32)</f>
        <v>0</v>
      </c>
      <c r="D34" s="393">
        <f t="shared" si="10"/>
        <v>0</v>
      </c>
      <c r="E34" s="393">
        <f t="shared" si="10"/>
        <v>0</v>
      </c>
      <c r="F34" s="393">
        <f t="shared" si="10"/>
        <v>0</v>
      </c>
      <c r="G34" s="393">
        <f t="shared" si="10"/>
        <v>0</v>
      </c>
      <c r="H34" s="393">
        <f t="shared" si="10"/>
        <v>0</v>
      </c>
      <c r="I34" s="393">
        <f t="shared" si="10"/>
        <v>0</v>
      </c>
      <c r="J34" s="393">
        <f t="shared" si="10"/>
        <v>0</v>
      </c>
      <c r="K34" s="393">
        <f t="shared" si="10"/>
        <v>0</v>
      </c>
      <c r="L34" s="393">
        <f t="shared" si="10"/>
        <v>0</v>
      </c>
      <c r="M34" s="393">
        <f t="shared" si="10"/>
        <v>0</v>
      </c>
      <c r="N34" s="393">
        <f t="shared" si="10"/>
        <v>0</v>
      </c>
      <c r="O34" s="394">
        <f>SUM(C34:N34)</f>
        <v>0</v>
      </c>
      <c r="P34" s="269"/>
    </row>
    <row r="35" spans="2:16" x14ac:dyDescent="0.25">
      <c r="B35" s="391" t="str">
        <f>Vertaling!$A$298</f>
        <v>Aflossing per maand</v>
      </c>
      <c r="C35" s="393">
        <f>IF(C32&lt;0.001,0,IF(C30&lt;$C$11,0,IF(OR($C$10=dropdowns!$B$93,$C$10=dropdowns!$C$93,$C$10=dropdowns!$D$93,$C$10=dropdowns!$E$93),$C$9,IF(OR($C$10=dropdowns!$B$92,$C$10=dropdowns!$C$92,$C$10=dropdowns!$D$92,$C$10=dropdowns!$E$92),IFERROR((C34/(1-(1+$C$7/12)^-($C$4-N22)))-C34,0),0))))</f>
        <v>0</v>
      </c>
      <c r="D35" s="393">
        <f>IF(D32&lt;0.001,0,IF(D30&lt;$C$11,0,IF(OR($C$10=dropdowns!$B$93,$C$10=dropdowns!$C$93,$C$10=dropdowns!$D$93,$C$10=dropdowns!$E$93),$C$9,IF(OR($C$10=dropdowns!$B$92,$C$10=dropdowns!$C$92,$C$10=dropdowns!$D$92,$C$10=dropdowns!$E$92),IFERROR((D34/(1-(1+$C$7/12)^-($C$4-C30)))-D34,0),0))))</f>
        <v>0</v>
      </c>
      <c r="E35" s="393">
        <f>IF(E32&lt;0.001,0,IF(E30&lt;$C$11,0,IF(OR($C$10=dropdowns!$B$93,$C$10=dropdowns!$C$93,$C$10=dropdowns!$D$93,$C$10=dropdowns!$E$93),$C$9,IF(OR($C$10=dropdowns!$B$92,$C$10=dropdowns!$C$92,$C$10=dropdowns!$D$92,$C$10=dropdowns!$E$92),IFERROR((E34/(1-(1+$C$7/12)^-($C$4-D30)))-E34,0),0))))</f>
        <v>0</v>
      </c>
      <c r="F35" s="393">
        <f>IF(F32&lt;0.001,0,IF(F30&lt;$C$11,0,IF(OR($C$10=dropdowns!$B$93,$C$10=dropdowns!$C$93,$C$10=dropdowns!$D$93,$C$10=dropdowns!$E$93),$C$9,IF(OR($C$10=dropdowns!$B$92,$C$10=dropdowns!$C$92,$C$10=dropdowns!$D$92,$C$10=dropdowns!$E$92),IFERROR((F34/(1-(1+$C$7/12)^-($C$4-E30)))-F34,0),0))))</f>
        <v>0</v>
      </c>
      <c r="G35" s="393">
        <f>IF(G32&lt;0.001,0,IF(G30&lt;$C$11,0,IF(OR($C$10=dropdowns!$B$93,$C$10=dropdowns!$C$93,$C$10=dropdowns!$D$93,$C$10=dropdowns!$E$93),$C$9,IF(OR($C$10=dropdowns!$B$92,$C$10=dropdowns!$C$92,$C$10=dropdowns!$D$92,$C$10=dropdowns!$E$92),IFERROR((G34/(1-(1+$C$7/12)^-($C$4-F30)))-G34,0),0))))</f>
        <v>0</v>
      </c>
      <c r="H35" s="393">
        <f>IF(H32&lt;0.001,0,IF(H30&lt;$C$11,0,IF(OR($C$10=dropdowns!$B$93,$C$10=dropdowns!$C$93,$C$10=dropdowns!$D$93,$C$10=dropdowns!$E$93),$C$9,IF(OR($C$10=dropdowns!$B$92,$C$10=dropdowns!$C$92,$C$10=dropdowns!$D$92,$C$10=dropdowns!$E$92),IFERROR((H34/(1-(1+$C$7/12)^-($C$4-G30)))-H34,0),0))))</f>
        <v>0</v>
      </c>
      <c r="I35" s="393">
        <f>IF(I32&lt;0.001,0,IF(I30&lt;$C$11,0,IF(OR($C$10=dropdowns!$B$93,$C$10=dropdowns!$C$93,$C$10=dropdowns!$D$93,$C$10=dropdowns!$E$93),$C$9,IF(OR($C$10=dropdowns!$B$92,$C$10=dropdowns!$C$92,$C$10=dropdowns!$D$92,$C$10=dropdowns!$E$92),IFERROR((I34/(1-(1+$C$7/12)^-($C$4-H30)))-I34,0),0))))</f>
        <v>0</v>
      </c>
      <c r="J35" s="393">
        <f>IF(J32&lt;0.001,0,IF(J30&lt;$C$11,0,IF(OR($C$10=dropdowns!$B$93,$C$10=dropdowns!$C$93,$C$10=dropdowns!$D$93,$C$10=dropdowns!$E$93),$C$9,IF(OR($C$10=dropdowns!$B$92,$C$10=dropdowns!$C$92,$C$10=dropdowns!$D$92,$C$10=dropdowns!$E$92),IFERROR((J34/(1-(1+$C$7/12)^-($C$4-I30)))-J34,0),0))))</f>
        <v>0</v>
      </c>
      <c r="K35" s="393">
        <f>IF(K32&lt;0.001,0,IF(K30&lt;$C$11,0,IF(OR($C$10=dropdowns!$B$93,$C$10=dropdowns!$C$93,$C$10=dropdowns!$D$93,$C$10=dropdowns!$E$93),$C$9,IF(OR($C$10=dropdowns!$B$92,$C$10=dropdowns!$C$92,$C$10=dropdowns!$D$92,$C$10=dropdowns!$E$92),IFERROR((K34/(1-(1+$C$7/12)^-($C$4-J30)))-K34,0),0))))</f>
        <v>0</v>
      </c>
      <c r="L35" s="393">
        <f>IF(L32&lt;0.001,0,IF(L30&lt;$C$11,0,IF(OR($C$10=dropdowns!$B$93,$C$10=dropdowns!$C$93,$C$10=dropdowns!$D$93,$C$10=dropdowns!$E$93),$C$9,IF(OR($C$10=dropdowns!$B$92,$C$10=dropdowns!$C$92,$C$10=dropdowns!$D$92,$C$10=dropdowns!$E$92),IFERROR((L34/(1-(1+$C$7/12)^-($C$4-K30)))-L34,0),0))))</f>
        <v>0</v>
      </c>
      <c r="M35" s="393">
        <f>IF(M32&lt;0.001,0,IF(M30&lt;$C$11,0,IF(OR($C$10=dropdowns!$B$93,$C$10=dropdowns!$C$93,$C$10=dropdowns!$D$93,$C$10=dropdowns!$E$93),$C$9,IF(OR($C$10=dropdowns!$B$92,$C$10=dropdowns!$C$92,$C$10=dropdowns!$D$92,$C$10=dropdowns!$E$92),IFERROR((M34/(1-(1+$C$7/12)^-($C$4-L30)))-M34,0),0))))</f>
        <v>0</v>
      </c>
      <c r="N35" s="393">
        <f>IF(N32&lt;0.001,0,IF(N30&lt;$C$11,0,IF(OR($C$10=dropdowns!$B$93,$C$10=dropdowns!$C$93,$C$10=dropdowns!$D$93,$C$10=dropdowns!$E$93),$C$9,IF(OR($C$10=dropdowns!$B$92,$C$10=dropdowns!$C$92,$C$10=dropdowns!$D$92,$C$10=dropdowns!$E$92),IFERROR((N34/(1-(1+$C$7/12)^-($C$4-M30)))-N34,0),0))))</f>
        <v>0</v>
      </c>
      <c r="O35" s="394">
        <f>SUM(C35:N35)</f>
        <v>0</v>
      </c>
      <c r="P35" s="269"/>
    </row>
    <row r="36" spans="2:16" x14ac:dyDescent="0.25">
      <c r="B36" s="398" t="str">
        <f>Vertaling!$A$300</f>
        <v>Te betalen per maand</v>
      </c>
      <c r="C36" s="399">
        <f t="shared" ref="C36:N36" si="11">SUM(C34:C35)</f>
        <v>0</v>
      </c>
      <c r="D36" s="399">
        <f t="shared" si="11"/>
        <v>0</v>
      </c>
      <c r="E36" s="399">
        <f t="shared" si="11"/>
        <v>0</v>
      </c>
      <c r="F36" s="399">
        <f t="shared" si="11"/>
        <v>0</v>
      </c>
      <c r="G36" s="399">
        <f t="shared" si="11"/>
        <v>0</v>
      </c>
      <c r="H36" s="399">
        <f t="shared" si="11"/>
        <v>0</v>
      </c>
      <c r="I36" s="399">
        <f t="shared" si="11"/>
        <v>0</v>
      </c>
      <c r="J36" s="399">
        <f t="shared" si="11"/>
        <v>0</v>
      </c>
      <c r="K36" s="399">
        <f t="shared" si="11"/>
        <v>0</v>
      </c>
      <c r="L36" s="399">
        <f t="shared" si="11"/>
        <v>0</v>
      </c>
      <c r="M36" s="399">
        <f t="shared" si="11"/>
        <v>0</v>
      </c>
      <c r="N36" s="399">
        <f t="shared" si="11"/>
        <v>0</v>
      </c>
      <c r="O36" s="400">
        <f>SUM(C36:N36)</f>
        <v>0</v>
      </c>
      <c r="P36" s="269"/>
    </row>
    <row r="37" spans="2:16" x14ac:dyDescent="0.25">
      <c r="B37" s="372"/>
      <c r="C37" s="372"/>
      <c r="D37" s="372"/>
      <c r="E37" s="372"/>
      <c r="F37" s="372"/>
      <c r="G37" s="372"/>
      <c r="H37" s="372"/>
      <c r="I37" s="372"/>
      <c r="J37" s="372"/>
      <c r="K37" s="372"/>
      <c r="L37" s="372"/>
      <c r="M37" s="372"/>
      <c r="N37" s="372"/>
      <c r="O37" s="372"/>
      <c r="P37" s="269"/>
    </row>
    <row r="38" spans="2:16" x14ac:dyDescent="0.25">
      <c r="B38" s="387" t="str">
        <f>Vertaling!$A$295&amp;N38/12</f>
        <v>Jaar 4</v>
      </c>
      <c r="C38" s="388">
        <f>N30+1</f>
        <v>37</v>
      </c>
      <c r="D38" s="388">
        <f t="shared" ref="D38:N38" si="12">C38+1</f>
        <v>38</v>
      </c>
      <c r="E38" s="388">
        <f t="shared" si="12"/>
        <v>39</v>
      </c>
      <c r="F38" s="388">
        <f t="shared" si="12"/>
        <v>40</v>
      </c>
      <c r="G38" s="388">
        <f t="shared" si="12"/>
        <v>41</v>
      </c>
      <c r="H38" s="388">
        <f t="shared" si="12"/>
        <v>42</v>
      </c>
      <c r="I38" s="388">
        <f t="shared" si="12"/>
        <v>43</v>
      </c>
      <c r="J38" s="388">
        <f t="shared" si="12"/>
        <v>44</v>
      </c>
      <c r="K38" s="388">
        <f t="shared" si="12"/>
        <v>45</v>
      </c>
      <c r="L38" s="388">
        <f t="shared" si="12"/>
        <v>46</v>
      </c>
      <c r="M38" s="388">
        <f t="shared" si="12"/>
        <v>47</v>
      </c>
      <c r="N38" s="388">
        <f t="shared" si="12"/>
        <v>48</v>
      </c>
      <c r="O38" s="388" t="s">
        <v>54</v>
      </c>
      <c r="P38" s="269"/>
    </row>
    <row r="39" spans="2:16" x14ac:dyDescent="0.25">
      <c r="B39" s="389"/>
      <c r="C39" s="390"/>
      <c r="D39" s="390"/>
      <c r="E39" s="390"/>
      <c r="F39" s="390"/>
      <c r="G39" s="390"/>
      <c r="H39" s="390"/>
      <c r="I39" s="390"/>
      <c r="J39" s="390"/>
      <c r="K39" s="390"/>
      <c r="L39" s="390"/>
      <c r="M39" s="390"/>
      <c r="N39" s="390"/>
      <c r="O39" s="390"/>
      <c r="P39" s="269"/>
    </row>
    <row r="40" spans="2:16" x14ac:dyDescent="0.25">
      <c r="B40" s="391" t="str">
        <f>Vertaling!$A$296</f>
        <v>Bedrag lening begin maand</v>
      </c>
      <c r="C40" s="392">
        <f>N32-N35</f>
        <v>0</v>
      </c>
      <c r="D40" s="393">
        <f t="shared" ref="D40:N40" si="13">C40-C43</f>
        <v>0</v>
      </c>
      <c r="E40" s="393">
        <f t="shared" si="13"/>
        <v>0</v>
      </c>
      <c r="F40" s="393">
        <f t="shared" si="13"/>
        <v>0</v>
      </c>
      <c r="G40" s="393">
        <f t="shared" si="13"/>
        <v>0</v>
      </c>
      <c r="H40" s="393">
        <f t="shared" si="13"/>
        <v>0</v>
      </c>
      <c r="I40" s="393">
        <f t="shared" si="13"/>
        <v>0</v>
      </c>
      <c r="J40" s="393">
        <f t="shared" si="13"/>
        <v>0</v>
      </c>
      <c r="K40" s="393">
        <f t="shared" si="13"/>
        <v>0</v>
      </c>
      <c r="L40" s="393">
        <f t="shared" si="13"/>
        <v>0</v>
      </c>
      <c r="M40" s="393">
        <f t="shared" si="13"/>
        <v>0</v>
      </c>
      <c r="N40" s="393">
        <f t="shared" si="13"/>
        <v>0</v>
      </c>
      <c r="O40" s="394"/>
      <c r="P40" s="269"/>
    </row>
    <row r="41" spans="2:16" x14ac:dyDescent="0.25">
      <c r="B41" s="391"/>
      <c r="C41" s="391"/>
      <c r="D41" s="391"/>
      <c r="E41" s="391"/>
      <c r="F41" s="391"/>
      <c r="G41" s="391"/>
      <c r="H41" s="391"/>
      <c r="I41" s="391"/>
      <c r="J41" s="391"/>
      <c r="K41" s="391"/>
      <c r="L41" s="391"/>
      <c r="M41" s="391"/>
      <c r="N41" s="391"/>
      <c r="O41" s="391"/>
      <c r="P41" s="269"/>
    </row>
    <row r="42" spans="2:16" x14ac:dyDescent="0.25">
      <c r="B42" s="391" t="str">
        <f>Vertaling!$A$297</f>
        <v>Kosten rente per maand</v>
      </c>
      <c r="C42" s="393">
        <f t="shared" ref="C42:N42" si="14">IF(C40&lt;0.001,0,$C$8*C40)</f>
        <v>0</v>
      </c>
      <c r="D42" s="393">
        <f t="shared" si="14"/>
        <v>0</v>
      </c>
      <c r="E42" s="393">
        <f t="shared" si="14"/>
        <v>0</v>
      </c>
      <c r="F42" s="393">
        <f t="shared" si="14"/>
        <v>0</v>
      </c>
      <c r="G42" s="393">
        <f t="shared" si="14"/>
        <v>0</v>
      </c>
      <c r="H42" s="393">
        <f t="shared" si="14"/>
        <v>0</v>
      </c>
      <c r="I42" s="393">
        <f t="shared" si="14"/>
        <v>0</v>
      </c>
      <c r="J42" s="393">
        <f t="shared" si="14"/>
        <v>0</v>
      </c>
      <c r="K42" s="393">
        <f t="shared" si="14"/>
        <v>0</v>
      </c>
      <c r="L42" s="393">
        <f t="shared" si="14"/>
        <v>0</v>
      </c>
      <c r="M42" s="393">
        <f t="shared" si="14"/>
        <v>0</v>
      </c>
      <c r="N42" s="393">
        <f t="shared" si="14"/>
        <v>0</v>
      </c>
      <c r="O42" s="394">
        <f>SUM(C42:N42)</f>
        <v>0</v>
      </c>
      <c r="P42" s="269"/>
    </row>
    <row r="43" spans="2:16" x14ac:dyDescent="0.25">
      <c r="B43" s="391" t="str">
        <f>Vertaling!$A$298</f>
        <v>Aflossing per maand</v>
      </c>
      <c r="C43" s="393">
        <f>IF(C40&lt;0.001,0,IF(C38&lt;$C$11,0,IF(OR($C$10=dropdowns!$B$93,$C$10=dropdowns!$C$93,$C$10=dropdowns!$D$93,$C$10=dropdowns!$E$93),$C$9,IF(OR($C$10=dropdowns!$B$92,$C$10=dropdowns!$C$92,$C$10=dropdowns!$D$92,$C$10=dropdowns!$E$92),IFERROR((C42/(1-(1+$C$7/12)^-($C$4-N30)))-C42,0),0))))</f>
        <v>0</v>
      </c>
      <c r="D43" s="393">
        <f>IF(D40&lt;0.001,0,IF(D38&lt;$C$11,0,IF(OR($C$10=dropdowns!$B$93,$C$10=dropdowns!$C$93,$C$10=dropdowns!$D$93,$C$10=dropdowns!$E$93),$C$9,IF(OR($C$10=dropdowns!$B$92,$C$10=dropdowns!$C$92,$C$10=dropdowns!$D$92,$C$10=dropdowns!$E$92),IFERROR((D42/(1-(1+$C$7/12)^-($C$4-C38)))-D42,0),0))))</f>
        <v>0</v>
      </c>
      <c r="E43" s="393">
        <f>IF(E40&lt;0.001,0,IF(E38&lt;$C$11,0,IF(OR($C$10=dropdowns!$B$93,$C$10=dropdowns!$C$93,$C$10=dropdowns!$D$93,$C$10=dropdowns!$E$93),$C$9,IF(OR($C$10=dropdowns!$B$92,$C$10=dropdowns!$C$92,$C$10=dropdowns!$D$92,$C$10=dropdowns!$E$92),IFERROR((E42/(1-(1+$C$7/12)^-($C$4-D38)))-E42,0),0))))</f>
        <v>0</v>
      </c>
      <c r="F43" s="393">
        <f>IF(F40&lt;0.001,0,IF(F38&lt;$C$11,0,IF(OR($C$10=dropdowns!$B$93,$C$10=dropdowns!$C$93,$C$10=dropdowns!$D$93,$C$10=dropdowns!$E$93),$C$9,IF(OR($C$10=dropdowns!$B$92,$C$10=dropdowns!$C$92,$C$10=dropdowns!$D$92,$C$10=dropdowns!$E$92),IFERROR((F42/(1-(1+$C$7/12)^-($C$4-E38)))-F42,0),0))))</f>
        <v>0</v>
      </c>
      <c r="G43" s="393">
        <f>IF(G40&lt;0.001,0,IF(G38&lt;$C$11,0,IF(OR($C$10=dropdowns!$B$93,$C$10=dropdowns!$C$93,$C$10=dropdowns!$D$93,$C$10=dropdowns!$E$93),$C$9,IF(OR($C$10=dropdowns!$B$92,$C$10=dropdowns!$C$92,$C$10=dropdowns!$D$92,$C$10=dropdowns!$E$92),IFERROR((G42/(1-(1+$C$7/12)^-($C$4-F38)))-G42,0),0))))</f>
        <v>0</v>
      </c>
      <c r="H43" s="393">
        <f>IF(H40&lt;0.001,0,IF(H38&lt;$C$11,0,IF(OR($C$10=dropdowns!$B$93,$C$10=dropdowns!$C$93,$C$10=dropdowns!$D$93,$C$10=dropdowns!$E$93),$C$9,IF(OR($C$10=dropdowns!$B$92,$C$10=dropdowns!$C$92,$C$10=dropdowns!$D$92,$C$10=dropdowns!$E$92),IFERROR((H42/(1-(1+$C$7/12)^-($C$4-G38)))-H42,0),0))))</f>
        <v>0</v>
      </c>
      <c r="I43" s="393">
        <f>IF(I40&lt;0.001,0,IF(I38&lt;$C$11,0,IF(OR($C$10=dropdowns!$B$93,$C$10=dropdowns!$C$93,$C$10=dropdowns!$D$93,$C$10=dropdowns!$E$93),$C$9,IF(OR($C$10=dropdowns!$B$92,$C$10=dropdowns!$C$92,$C$10=dropdowns!$D$92,$C$10=dropdowns!$E$92),IFERROR((I42/(1-(1+$C$7/12)^-($C$4-H38)))-I42,0),0))))</f>
        <v>0</v>
      </c>
      <c r="J43" s="393">
        <f>IF(J40&lt;0.001,0,IF(J38&lt;$C$11,0,IF(OR($C$10=dropdowns!$B$93,$C$10=dropdowns!$C$93,$C$10=dropdowns!$D$93,$C$10=dropdowns!$E$93),$C$9,IF(OR($C$10=dropdowns!$B$92,$C$10=dropdowns!$C$92,$C$10=dropdowns!$D$92,$C$10=dropdowns!$E$92),IFERROR((J42/(1-(1+$C$7/12)^-($C$4-I38)))-J42,0),0))))</f>
        <v>0</v>
      </c>
      <c r="K43" s="393">
        <f>IF(K40&lt;0.001,0,IF(K38&lt;$C$11,0,IF(OR($C$10=dropdowns!$B$93,$C$10=dropdowns!$C$93,$C$10=dropdowns!$D$93,$C$10=dropdowns!$E$93),$C$9,IF(OR($C$10=dropdowns!$B$92,$C$10=dropdowns!$C$92,$C$10=dropdowns!$D$92,$C$10=dropdowns!$E$92),IFERROR((K42/(1-(1+$C$7/12)^-($C$4-J38)))-K42,0),0))))</f>
        <v>0</v>
      </c>
      <c r="L43" s="393">
        <f>IF(L40&lt;0.001,0,IF(L38&lt;$C$11,0,IF(OR($C$10=dropdowns!$B$93,$C$10=dropdowns!$C$93,$C$10=dropdowns!$D$93,$C$10=dropdowns!$E$93),$C$9,IF(OR($C$10=dropdowns!$B$92,$C$10=dropdowns!$C$92,$C$10=dropdowns!$D$92,$C$10=dropdowns!$E$92),IFERROR((L42/(1-(1+$C$7/12)^-($C$4-K38)))-L42,0),0))))</f>
        <v>0</v>
      </c>
      <c r="M43" s="393">
        <f>IF(M40&lt;0.001,0,IF(M38&lt;$C$11,0,IF(OR($C$10=dropdowns!$B$93,$C$10=dropdowns!$C$93,$C$10=dropdowns!$D$93,$C$10=dropdowns!$E$93),$C$9,IF(OR($C$10=dropdowns!$B$92,$C$10=dropdowns!$C$92,$C$10=dropdowns!$D$92,$C$10=dropdowns!$E$92),IFERROR((M42/(1-(1+$C$7/12)^-($C$4-L38)))-M42,0),0))))</f>
        <v>0</v>
      </c>
      <c r="N43" s="393">
        <f>IF(N40&lt;0.001,0,IF(N38&lt;$C$11,0,IF(OR($C$10=dropdowns!$B$93,$C$10=dropdowns!$C$93,$C$10=dropdowns!$D$93,$C$10=dropdowns!$E$93),$C$9,IF(OR($C$10=dropdowns!$B$92,$C$10=dropdowns!$C$92,$C$10=dropdowns!$D$92,$C$10=dropdowns!$E$92),IFERROR((N42/(1-(1+$C$7/12)^-($C$4-M38)))-N42,0),0))))</f>
        <v>0</v>
      </c>
      <c r="O43" s="394">
        <f>SUM(C43:N43)</f>
        <v>0</v>
      </c>
      <c r="P43" s="269"/>
    </row>
    <row r="44" spans="2:16" x14ac:dyDescent="0.25">
      <c r="B44" s="398" t="str">
        <f>Vertaling!$A$300</f>
        <v>Te betalen per maand</v>
      </c>
      <c r="C44" s="399">
        <f t="shared" ref="C44:N44" si="15">SUM(C42:C43)</f>
        <v>0</v>
      </c>
      <c r="D44" s="399">
        <f t="shared" si="15"/>
        <v>0</v>
      </c>
      <c r="E44" s="399">
        <f t="shared" si="15"/>
        <v>0</v>
      </c>
      <c r="F44" s="399">
        <f t="shared" si="15"/>
        <v>0</v>
      </c>
      <c r="G44" s="399">
        <f t="shared" si="15"/>
        <v>0</v>
      </c>
      <c r="H44" s="399">
        <f t="shared" si="15"/>
        <v>0</v>
      </c>
      <c r="I44" s="399">
        <f t="shared" si="15"/>
        <v>0</v>
      </c>
      <c r="J44" s="399">
        <f t="shared" si="15"/>
        <v>0</v>
      </c>
      <c r="K44" s="399">
        <f t="shared" si="15"/>
        <v>0</v>
      </c>
      <c r="L44" s="399">
        <f t="shared" si="15"/>
        <v>0</v>
      </c>
      <c r="M44" s="399">
        <f t="shared" si="15"/>
        <v>0</v>
      </c>
      <c r="N44" s="399">
        <f t="shared" si="15"/>
        <v>0</v>
      </c>
      <c r="O44" s="400">
        <f>SUM(C44:N44)</f>
        <v>0</v>
      </c>
      <c r="P44" s="269"/>
    </row>
    <row r="45" spans="2:16" x14ac:dyDescent="0.25">
      <c r="B45" s="372"/>
      <c r="C45" s="372"/>
      <c r="D45" s="372"/>
      <c r="E45" s="372"/>
      <c r="F45" s="372"/>
      <c r="G45" s="372"/>
      <c r="H45" s="372"/>
      <c r="I45" s="372"/>
      <c r="J45" s="372"/>
      <c r="K45" s="372"/>
      <c r="L45" s="372"/>
      <c r="M45" s="372"/>
      <c r="N45" s="372"/>
      <c r="O45" s="372"/>
      <c r="P45" s="269"/>
    </row>
    <row r="46" spans="2:16" x14ac:dyDescent="0.25">
      <c r="B46" s="387" t="str">
        <f>Vertaling!$A$295&amp;N46/12</f>
        <v>Jaar 5</v>
      </c>
      <c r="C46" s="388">
        <f>N38+1</f>
        <v>49</v>
      </c>
      <c r="D46" s="388">
        <f t="shared" ref="D46:N46" si="16">C46+1</f>
        <v>50</v>
      </c>
      <c r="E46" s="388">
        <f t="shared" si="16"/>
        <v>51</v>
      </c>
      <c r="F46" s="388">
        <f t="shared" si="16"/>
        <v>52</v>
      </c>
      <c r="G46" s="388">
        <f t="shared" si="16"/>
        <v>53</v>
      </c>
      <c r="H46" s="388">
        <f t="shared" si="16"/>
        <v>54</v>
      </c>
      <c r="I46" s="388">
        <f t="shared" si="16"/>
        <v>55</v>
      </c>
      <c r="J46" s="388">
        <f t="shared" si="16"/>
        <v>56</v>
      </c>
      <c r="K46" s="388">
        <f t="shared" si="16"/>
        <v>57</v>
      </c>
      <c r="L46" s="388">
        <f t="shared" si="16"/>
        <v>58</v>
      </c>
      <c r="M46" s="388">
        <f t="shared" si="16"/>
        <v>59</v>
      </c>
      <c r="N46" s="388">
        <f t="shared" si="16"/>
        <v>60</v>
      </c>
      <c r="O46" s="388" t="s">
        <v>54</v>
      </c>
      <c r="P46" s="269"/>
    </row>
    <row r="47" spans="2:16" x14ac:dyDescent="0.25">
      <c r="B47" s="389"/>
      <c r="C47" s="390"/>
      <c r="D47" s="390"/>
      <c r="E47" s="390"/>
      <c r="F47" s="390"/>
      <c r="G47" s="390"/>
      <c r="H47" s="390"/>
      <c r="I47" s="390"/>
      <c r="J47" s="390"/>
      <c r="K47" s="390"/>
      <c r="L47" s="390"/>
      <c r="M47" s="390"/>
      <c r="N47" s="390"/>
      <c r="O47" s="390"/>
      <c r="P47" s="269"/>
    </row>
    <row r="48" spans="2:16" x14ac:dyDescent="0.25">
      <c r="B48" s="391" t="str">
        <f>Vertaling!$A$296</f>
        <v>Bedrag lening begin maand</v>
      </c>
      <c r="C48" s="392">
        <f>N40-N43</f>
        <v>0</v>
      </c>
      <c r="D48" s="393">
        <f t="shared" ref="D48:N48" si="17">C48-C51</f>
        <v>0</v>
      </c>
      <c r="E48" s="393">
        <f t="shared" si="17"/>
        <v>0</v>
      </c>
      <c r="F48" s="393">
        <f t="shared" si="17"/>
        <v>0</v>
      </c>
      <c r="G48" s="393">
        <f t="shared" si="17"/>
        <v>0</v>
      </c>
      <c r="H48" s="393">
        <f t="shared" si="17"/>
        <v>0</v>
      </c>
      <c r="I48" s="393">
        <f t="shared" si="17"/>
        <v>0</v>
      </c>
      <c r="J48" s="393">
        <f t="shared" si="17"/>
        <v>0</v>
      </c>
      <c r="K48" s="393">
        <f t="shared" si="17"/>
        <v>0</v>
      </c>
      <c r="L48" s="393">
        <f t="shared" si="17"/>
        <v>0</v>
      </c>
      <c r="M48" s="393">
        <f t="shared" si="17"/>
        <v>0</v>
      </c>
      <c r="N48" s="393">
        <f t="shared" si="17"/>
        <v>0</v>
      </c>
      <c r="O48" s="394"/>
      <c r="P48" s="269"/>
    </row>
    <row r="49" spans="2:16" x14ac:dyDescent="0.25">
      <c r="B49" s="391"/>
      <c r="C49" s="391"/>
      <c r="D49" s="391"/>
      <c r="E49" s="391"/>
      <c r="F49" s="391"/>
      <c r="G49" s="391"/>
      <c r="H49" s="391"/>
      <c r="I49" s="391"/>
      <c r="J49" s="391"/>
      <c r="K49" s="391"/>
      <c r="L49" s="391"/>
      <c r="M49" s="391"/>
      <c r="N49" s="391"/>
      <c r="O49" s="391"/>
      <c r="P49" s="269"/>
    </row>
    <row r="50" spans="2:16" x14ac:dyDescent="0.25">
      <c r="B50" s="391" t="str">
        <f>Vertaling!$A$297</f>
        <v>Kosten rente per maand</v>
      </c>
      <c r="C50" s="393">
        <f t="shared" ref="C50:N50" si="18">IF(C48&lt;0.001,0,$C$8*C48)</f>
        <v>0</v>
      </c>
      <c r="D50" s="393">
        <f t="shared" si="18"/>
        <v>0</v>
      </c>
      <c r="E50" s="393">
        <f t="shared" si="18"/>
        <v>0</v>
      </c>
      <c r="F50" s="393">
        <f t="shared" si="18"/>
        <v>0</v>
      </c>
      <c r="G50" s="393">
        <f t="shared" si="18"/>
        <v>0</v>
      </c>
      <c r="H50" s="393">
        <f t="shared" si="18"/>
        <v>0</v>
      </c>
      <c r="I50" s="393">
        <f t="shared" si="18"/>
        <v>0</v>
      </c>
      <c r="J50" s="393">
        <f t="shared" si="18"/>
        <v>0</v>
      </c>
      <c r="K50" s="393">
        <f t="shared" si="18"/>
        <v>0</v>
      </c>
      <c r="L50" s="393">
        <f t="shared" si="18"/>
        <v>0</v>
      </c>
      <c r="M50" s="393">
        <f t="shared" si="18"/>
        <v>0</v>
      </c>
      <c r="N50" s="393">
        <f t="shared" si="18"/>
        <v>0</v>
      </c>
      <c r="O50" s="394">
        <f>SUM(C50:N50)</f>
        <v>0</v>
      </c>
      <c r="P50" s="269"/>
    </row>
    <row r="51" spans="2:16" x14ac:dyDescent="0.25">
      <c r="B51" s="391" t="str">
        <f>Vertaling!$A$298</f>
        <v>Aflossing per maand</v>
      </c>
      <c r="C51" s="393">
        <f>IF(C48&lt;0.001,0,IF(C46&lt;$C$11,0,IF(OR($C$10=dropdowns!$B$93,$C$10=dropdowns!$C$93,$C$10=dropdowns!$D$93,$C$10=dropdowns!$E$93),$C$9,IF(OR($C$10=dropdowns!$B$92,$C$10=dropdowns!$C$92,$C$10=dropdowns!$D$92,$C$10=dropdowns!$E$92),IFERROR((C50/(1-(1+$C$7/12)^-($C$4-N38)))-C50,0),0))))</f>
        <v>0</v>
      </c>
      <c r="D51" s="393">
        <f>IF(D48&lt;0.001,0,IF(D46&lt;$C$11,0,IF(OR($C$10=dropdowns!$B$93,$C$10=dropdowns!$C$93,$C$10=dropdowns!$D$93,$C$10=dropdowns!$E$93),$C$9,IF(OR($C$10=dropdowns!$B$92,$C$10=dropdowns!$C$92,$C$10=dropdowns!$D$92,$C$10=dropdowns!$E$92),IFERROR((D50/(1-(1+$C$7/12)^-($C$4-C46)))-D50,0),0))))</f>
        <v>0</v>
      </c>
      <c r="E51" s="393">
        <f>IF(E48&lt;0.001,0,IF(E46&lt;$C$11,0,IF(OR($C$10=dropdowns!$B$93,$C$10=dropdowns!$C$93,$C$10=dropdowns!$D$93,$C$10=dropdowns!$E$93),$C$9,IF(OR($C$10=dropdowns!$B$92,$C$10=dropdowns!$C$92,$C$10=dropdowns!$D$92,$C$10=dropdowns!$E$92),IFERROR((E50/(1-(1+$C$7/12)^-($C$4-D46)))-E50,0),0))))</f>
        <v>0</v>
      </c>
      <c r="F51" s="393">
        <f>IF(F48&lt;0.001,0,IF(F46&lt;$C$11,0,IF(OR($C$10=dropdowns!$B$93,$C$10=dropdowns!$C$93,$C$10=dropdowns!$D$93,$C$10=dropdowns!$E$93),$C$9,IF(OR($C$10=dropdowns!$B$92,$C$10=dropdowns!$C$92,$C$10=dropdowns!$D$92,$C$10=dropdowns!$E$92),IFERROR((F50/(1-(1+$C$7/12)^-($C$4-E46)))-F50,0),0))))</f>
        <v>0</v>
      </c>
      <c r="G51" s="393">
        <f>IF(G48&lt;0.001,0,IF(G46&lt;$C$11,0,IF(OR($C$10=dropdowns!$B$93,$C$10=dropdowns!$C$93,$C$10=dropdowns!$D$93,$C$10=dropdowns!$E$93),$C$9,IF(OR($C$10=dropdowns!$B$92,$C$10=dropdowns!$C$92,$C$10=dropdowns!$D$92,$C$10=dropdowns!$E$92),IFERROR((G50/(1-(1+$C$7/12)^-($C$4-F46)))-G50,0),0))))</f>
        <v>0</v>
      </c>
      <c r="H51" s="393">
        <f>IF(H48&lt;0.001,0,IF(H46&lt;$C$11,0,IF(OR($C$10=dropdowns!$B$93,$C$10=dropdowns!$C$93,$C$10=dropdowns!$D$93,$C$10=dropdowns!$E$93),$C$9,IF(OR($C$10=dropdowns!$B$92,$C$10=dropdowns!$C$92,$C$10=dropdowns!$D$92,$C$10=dropdowns!$E$92),IFERROR((H50/(1-(1+$C$7/12)^-($C$4-G46)))-H50,0),0))))</f>
        <v>0</v>
      </c>
      <c r="I51" s="393">
        <f>IF(I48&lt;0.001,0,IF(I46&lt;$C$11,0,IF(OR($C$10=dropdowns!$B$93,$C$10=dropdowns!$C$93,$C$10=dropdowns!$D$93,$C$10=dropdowns!$E$93),$C$9,IF(OR($C$10=dropdowns!$B$92,$C$10=dropdowns!$C$92,$C$10=dropdowns!$D$92,$C$10=dropdowns!$E$92),IFERROR((I50/(1-(1+$C$7/12)^-($C$4-H46)))-I50,0),0))))</f>
        <v>0</v>
      </c>
      <c r="J51" s="393">
        <f>IF(J48&lt;0.001,0,IF(J46&lt;$C$11,0,IF(OR($C$10=dropdowns!$B$93,$C$10=dropdowns!$C$93,$C$10=dropdowns!$D$93,$C$10=dropdowns!$E$93),$C$9,IF(OR($C$10=dropdowns!$B$92,$C$10=dropdowns!$C$92,$C$10=dropdowns!$D$92,$C$10=dropdowns!$E$92),IFERROR((J50/(1-(1+$C$7/12)^-($C$4-I46)))-J50,0),0))))</f>
        <v>0</v>
      </c>
      <c r="K51" s="393">
        <f>IF(K48&lt;0.001,0,IF(K46&lt;$C$11,0,IF(OR($C$10=dropdowns!$B$93,$C$10=dropdowns!$C$93,$C$10=dropdowns!$D$93,$C$10=dropdowns!$E$93),$C$9,IF(OR($C$10=dropdowns!$B$92,$C$10=dropdowns!$C$92,$C$10=dropdowns!$D$92,$C$10=dropdowns!$E$92),IFERROR((K50/(1-(1+$C$7/12)^-($C$4-J46)))-K50,0),0))))</f>
        <v>0</v>
      </c>
      <c r="L51" s="393">
        <f>IF(L48&lt;0.001,0,IF(L46&lt;$C$11,0,IF(OR($C$10=dropdowns!$B$93,$C$10=dropdowns!$C$93,$C$10=dropdowns!$D$93,$C$10=dropdowns!$E$93),$C$9,IF(OR($C$10=dropdowns!$B$92,$C$10=dropdowns!$C$92,$C$10=dropdowns!$D$92,$C$10=dropdowns!$E$92),IFERROR((L50/(1-(1+$C$7/12)^-($C$4-K46)))-L50,0),0))))</f>
        <v>0</v>
      </c>
      <c r="M51" s="393">
        <f>IF(M48&lt;0.001,0,IF(M46&lt;$C$11,0,IF(OR($C$10=dropdowns!$B$93,$C$10=dropdowns!$C$93,$C$10=dropdowns!$D$93,$C$10=dropdowns!$E$93),$C$9,IF(OR($C$10=dropdowns!$B$92,$C$10=dropdowns!$C$92,$C$10=dropdowns!$D$92,$C$10=dropdowns!$E$92),IFERROR((M50/(1-(1+$C$7/12)^-($C$4-L46)))-M50,0),0))))</f>
        <v>0</v>
      </c>
      <c r="N51" s="393">
        <f>IF(N48&lt;0.001,0,IF(N46&lt;$C$11,0,IF(OR($C$10=dropdowns!$B$93,$C$10=dropdowns!$C$93,$C$10=dropdowns!$D$93,$C$10=dropdowns!$E$93),$C$9,IF(OR($C$10=dropdowns!$B$92,$C$10=dropdowns!$C$92,$C$10=dropdowns!$D$92,$C$10=dropdowns!$E$92),IFERROR((N50/(1-(1+$C$7/12)^-($C$4-M46)))-N50,0),0))))</f>
        <v>0</v>
      </c>
      <c r="O51" s="394">
        <f>SUM(C51:N51)</f>
        <v>0</v>
      </c>
      <c r="P51" s="269"/>
    </row>
    <row r="52" spans="2:16" x14ac:dyDescent="0.25">
      <c r="B52" s="398" t="str">
        <f>Vertaling!$A$300</f>
        <v>Te betalen per maand</v>
      </c>
      <c r="C52" s="399">
        <f t="shared" ref="C52:N52" si="19">SUM(C50:C51)</f>
        <v>0</v>
      </c>
      <c r="D52" s="399">
        <f t="shared" si="19"/>
        <v>0</v>
      </c>
      <c r="E52" s="399">
        <f t="shared" si="19"/>
        <v>0</v>
      </c>
      <c r="F52" s="399">
        <f t="shared" si="19"/>
        <v>0</v>
      </c>
      <c r="G52" s="399">
        <f t="shared" si="19"/>
        <v>0</v>
      </c>
      <c r="H52" s="399">
        <f t="shared" si="19"/>
        <v>0</v>
      </c>
      <c r="I52" s="399">
        <f t="shared" si="19"/>
        <v>0</v>
      </c>
      <c r="J52" s="399">
        <f t="shared" si="19"/>
        <v>0</v>
      </c>
      <c r="K52" s="399">
        <f t="shared" si="19"/>
        <v>0</v>
      </c>
      <c r="L52" s="399">
        <f t="shared" si="19"/>
        <v>0</v>
      </c>
      <c r="M52" s="399">
        <f t="shared" si="19"/>
        <v>0</v>
      </c>
      <c r="N52" s="399">
        <f t="shared" si="19"/>
        <v>0</v>
      </c>
      <c r="O52" s="400">
        <f>SUM(C52:N52)</f>
        <v>0</v>
      </c>
      <c r="P52" s="269"/>
    </row>
    <row r="53" spans="2:16" x14ac:dyDescent="0.25">
      <c r="B53" s="372"/>
      <c r="C53" s="372"/>
      <c r="D53" s="372"/>
      <c r="E53" s="372"/>
      <c r="F53" s="372"/>
      <c r="G53" s="372"/>
      <c r="H53" s="372"/>
      <c r="I53" s="372"/>
      <c r="J53" s="372"/>
      <c r="K53" s="372"/>
      <c r="L53" s="372"/>
      <c r="M53" s="372"/>
      <c r="N53" s="372"/>
      <c r="O53" s="372"/>
      <c r="P53" s="269"/>
    </row>
    <row r="54" spans="2:16" x14ac:dyDescent="0.25">
      <c r="B54" s="387" t="str">
        <f>Vertaling!$A$295&amp;N54/12</f>
        <v>Jaar 6</v>
      </c>
      <c r="C54" s="388">
        <f>N46+1</f>
        <v>61</v>
      </c>
      <c r="D54" s="388">
        <f t="shared" ref="D54:N54" si="20">C54+1</f>
        <v>62</v>
      </c>
      <c r="E54" s="388">
        <f t="shared" si="20"/>
        <v>63</v>
      </c>
      <c r="F54" s="388">
        <f t="shared" si="20"/>
        <v>64</v>
      </c>
      <c r="G54" s="388">
        <f t="shared" si="20"/>
        <v>65</v>
      </c>
      <c r="H54" s="388">
        <f t="shared" si="20"/>
        <v>66</v>
      </c>
      <c r="I54" s="388">
        <f t="shared" si="20"/>
        <v>67</v>
      </c>
      <c r="J54" s="388">
        <f t="shared" si="20"/>
        <v>68</v>
      </c>
      <c r="K54" s="388">
        <f t="shared" si="20"/>
        <v>69</v>
      </c>
      <c r="L54" s="388">
        <f t="shared" si="20"/>
        <v>70</v>
      </c>
      <c r="M54" s="388">
        <f t="shared" si="20"/>
        <v>71</v>
      </c>
      <c r="N54" s="388">
        <f t="shared" si="20"/>
        <v>72</v>
      </c>
      <c r="O54" s="388" t="s">
        <v>54</v>
      </c>
      <c r="P54" s="269"/>
    </row>
    <row r="55" spans="2:16" x14ac:dyDescent="0.25">
      <c r="B55" s="389"/>
      <c r="C55" s="390"/>
      <c r="D55" s="390"/>
      <c r="E55" s="390"/>
      <c r="F55" s="390"/>
      <c r="G55" s="390"/>
      <c r="H55" s="390"/>
      <c r="I55" s="390"/>
      <c r="J55" s="390"/>
      <c r="K55" s="390"/>
      <c r="L55" s="390"/>
      <c r="M55" s="390"/>
      <c r="N55" s="390"/>
      <c r="O55" s="390"/>
      <c r="P55" s="269"/>
    </row>
    <row r="56" spans="2:16" x14ac:dyDescent="0.25">
      <c r="B56" s="391" t="str">
        <f>Vertaling!$A$296</f>
        <v>Bedrag lening begin maand</v>
      </c>
      <c r="C56" s="392">
        <f>N48-N51</f>
        <v>0</v>
      </c>
      <c r="D56" s="393">
        <f t="shared" ref="D56:N56" si="21">C56-C59</f>
        <v>0</v>
      </c>
      <c r="E56" s="393">
        <f t="shared" si="21"/>
        <v>0</v>
      </c>
      <c r="F56" s="393">
        <f t="shared" si="21"/>
        <v>0</v>
      </c>
      <c r="G56" s="393">
        <f t="shared" si="21"/>
        <v>0</v>
      </c>
      <c r="H56" s="393">
        <f t="shared" si="21"/>
        <v>0</v>
      </c>
      <c r="I56" s="393">
        <f t="shared" si="21"/>
        <v>0</v>
      </c>
      <c r="J56" s="393">
        <f t="shared" si="21"/>
        <v>0</v>
      </c>
      <c r="K56" s="393">
        <f t="shared" si="21"/>
        <v>0</v>
      </c>
      <c r="L56" s="393">
        <f t="shared" si="21"/>
        <v>0</v>
      </c>
      <c r="M56" s="393">
        <f t="shared" si="21"/>
        <v>0</v>
      </c>
      <c r="N56" s="393">
        <f t="shared" si="21"/>
        <v>0</v>
      </c>
      <c r="O56" s="394"/>
      <c r="P56" s="269"/>
    </row>
    <row r="57" spans="2:16" x14ac:dyDescent="0.25">
      <c r="B57" s="391"/>
      <c r="C57" s="391"/>
      <c r="D57" s="391"/>
      <c r="E57" s="391"/>
      <c r="F57" s="391"/>
      <c r="G57" s="391"/>
      <c r="H57" s="391"/>
      <c r="I57" s="391"/>
      <c r="J57" s="391"/>
      <c r="K57" s="391"/>
      <c r="L57" s="391"/>
      <c r="M57" s="391"/>
      <c r="N57" s="391"/>
      <c r="O57" s="391"/>
      <c r="P57" s="269"/>
    </row>
    <row r="58" spans="2:16" x14ac:dyDescent="0.25">
      <c r="B58" s="391" t="str">
        <f>Vertaling!$A$297</f>
        <v>Kosten rente per maand</v>
      </c>
      <c r="C58" s="393">
        <f t="shared" ref="C58:N58" si="22">IF(C56&lt;0.001,0,$C$8*C56)</f>
        <v>0</v>
      </c>
      <c r="D58" s="393">
        <f t="shared" si="22"/>
        <v>0</v>
      </c>
      <c r="E58" s="393">
        <f t="shared" si="22"/>
        <v>0</v>
      </c>
      <c r="F58" s="393">
        <f t="shared" si="22"/>
        <v>0</v>
      </c>
      <c r="G58" s="393">
        <f t="shared" si="22"/>
        <v>0</v>
      </c>
      <c r="H58" s="393">
        <f t="shared" si="22"/>
        <v>0</v>
      </c>
      <c r="I58" s="393">
        <f t="shared" si="22"/>
        <v>0</v>
      </c>
      <c r="J58" s="393">
        <f t="shared" si="22"/>
        <v>0</v>
      </c>
      <c r="K58" s="393">
        <f t="shared" si="22"/>
        <v>0</v>
      </c>
      <c r="L58" s="393">
        <f t="shared" si="22"/>
        <v>0</v>
      </c>
      <c r="M58" s="393">
        <f t="shared" si="22"/>
        <v>0</v>
      </c>
      <c r="N58" s="393">
        <f t="shared" si="22"/>
        <v>0</v>
      </c>
      <c r="O58" s="394">
        <f>SUM(C58:N58)</f>
        <v>0</v>
      </c>
      <c r="P58" s="269"/>
    </row>
    <row r="59" spans="2:16" x14ac:dyDescent="0.25">
      <c r="B59" s="391" t="str">
        <f>Vertaling!$A$298</f>
        <v>Aflossing per maand</v>
      </c>
      <c r="C59" s="393">
        <f>IF(C56&lt;0.001,0,IF(C54&lt;$C$11,0,IF(OR($C$10=dropdowns!$B$93,$C$10=dropdowns!$C$93,$C$10=dropdowns!$D$93,$C$10=dropdowns!$E$93),$C$9,IF(OR($C$10=dropdowns!$B$92,$C$10=dropdowns!$C$92,$C$10=dropdowns!$D$92,$C$10=dropdowns!$E$92),IFERROR((C58/(1-(1+$C$7/12)^-($C$4-N46)))-C58,0),0))))</f>
        <v>0</v>
      </c>
      <c r="D59" s="393">
        <f>IF(D56&lt;0.001,0,IF(D54&lt;$C$11,0,IF(OR($C$10=dropdowns!$B$93,$C$10=dropdowns!$C$93,$C$10=dropdowns!$D$93,$C$10=dropdowns!$E$93),$C$9,IF(OR($C$10=dropdowns!$B$92,$C$10=dropdowns!$C$92,$C$10=dropdowns!$D$92,$C$10=dropdowns!$E$92),IFERROR((D58/(1-(1+$C$7/12)^-($C$4-C54)))-D58,0),0))))</f>
        <v>0</v>
      </c>
      <c r="E59" s="393">
        <f>IF(E56&lt;0.001,0,IF(E54&lt;$C$11,0,IF(OR($C$10=dropdowns!$B$93,$C$10=dropdowns!$C$93,$C$10=dropdowns!$D$93,$C$10=dropdowns!$E$93),$C$9,IF(OR($C$10=dropdowns!$B$92,$C$10=dropdowns!$C$92,$C$10=dropdowns!$D$92,$C$10=dropdowns!$E$92),IFERROR((E58/(1-(1+$C$7/12)^-($C$4-D54)))-E58,0),0))))</f>
        <v>0</v>
      </c>
      <c r="F59" s="393">
        <f>IF(F56&lt;0.001,0,IF(F54&lt;$C$11,0,IF(OR($C$10=dropdowns!$B$93,$C$10=dropdowns!$C$93,$C$10=dropdowns!$D$93,$C$10=dropdowns!$E$93),$C$9,IF(OR($C$10=dropdowns!$B$92,$C$10=dropdowns!$C$92,$C$10=dropdowns!$D$92,$C$10=dropdowns!$E$92),IFERROR((F58/(1-(1+$C$7/12)^-($C$4-E54)))-F58,0),0))))</f>
        <v>0</v>
      </c>
      <c r="G59" s="393">
        <f>IF(G56&lt;0.001,0,IF(G54&lt;$C$11,0,IF(OR($C$10=dropdowns!$B$93,$C$10=dropdowns!$C$93,$C$10=dropdowns!$D$93,$C$10=dropdowns!$E$93),$C$9,IF(OR($C$10=dropdowns!$B$92,$C$10=dropdowns!$C$92,$C$10=dropdowns!$D$92,$C$10=dropdowns!$E$92),IFERROR((G58/(1-(1+$C$7/12)^-($C$4-F54)))-G58,0),0))))</f>
        <v>0</v>
      </c>
      <c r="H59" s="393">
        <f>IF(H56&lt;0.001,0,IF(H54&lt;$C$11,0,IF(OR($C$10=dropdowns!$B$93,$C$10=dropdowns!$C$93,$C$10=dropdowns!$D$93,$C$10=dropdowns!$E$93),$C$9,IF(OR($C$10=dropdowns!$B$92,$C$10=dropdowns!$C$92,$C$10=dropdowns!$D$92,$C$10=dropdowns!$E$92),IFERROR((H58/(1-(1+$C$7/12)^-($C$4-G54)))-H58,0),0))))</f>
        <v>0</v>
      </c>
      <c r="I59" s="393">
        <f>IF(I56&lt;0.001,0,IF(I54&lt;$C$11,0,IF(OR($C$10=dropdowns!$B$93,$C$10=dropdowns!$C$93,$C$10=dropdowns!$D$93,$C$10=dropdowns!$E$93),$C$9,IF(OR($C$10=dropdowns!$B$92,$C$10=dropdowns!$C$92,$C$10=dropdowns!$D$92,$C$10=dropdowns!$E$92),IFERROR((I58/(1-(1+$C$7/12)^-($C$4-H54)))-I58,0),0))))</f>
        <v>0</v>
      </c>
      <c r="J59" s="393">
        <f>IF(J56&lt;0.001,0,IF(J54&lt;$C$11,0,IF(OR($C$10=dropdowns!$B$93,$C$10=dropdowns!$C$93,$C$10=dropdowns!$D$93,$C$10=dropdowns!$E$93),$C$9,IF(OR($C$10=dropdowns!$B$92,$C$10=dropdowns!$C$92,$C$10=dropdowns!$D$92,$C$10=dropdowns!$E$92),IFERROR((J58/(1-(1+$C$7/12)^-($C$4-I54)))-J58,0),0))))</f>
        <v>0</v>
      </c>
      <c r="K59" s="393">
        <f>IF(K56&lt;0.001,0,IF(K54&lt;$C$11,0,IF(OR($C$10=dropdowns!$B$93,$C$10=dropdowns!$C$93,$C$10=dropdowns!$D$93,$C$10=dropdowns!$E$93),$C$9,IF(OR($C$10=dropdowns!$B$92,$C$10=dropdowns!$C$92,$C$10=dropdowns!$D$92,$C$10=dropdowns!$E$92),IFERROR((K58/(1-(1+$C$7/12)^-($C$4-J54)))-K58,0),0))))</f>
        <v>0</v>
      </c>
      <c r="L59" s="393">
        <f>IF(L56&lt;0.001,0,IF(L54&lt;$C$11,0,IF(OR($C$10=dropdowns!$B$93,$C$10=dropdowns!$C$93,$C$10=dropdowns!$D$93,$C$10=dropdowns!$E$93),$C$9,IF(OR($C$10=dropdowns!$B$92,$C$10=dropdowns!$C$92,$C$10=dropdowns!$D$92,$C$10=dropdowns!$E$92),IFERROR((L58/(1-(1+$C$7/12)^-($C$4-K54)))-L58,0),0))))</f>
        <v>0</v>
      </c>
      <c r="M59" s="393">
        <f>IF(M56&lt;0.001,0,IF(M54&lt;$C$11,0,IF(OR($C$10=dropdowns!$B$93,$C$10=dropdowns!$C$93,$C$10=dropdowns!$D$93,$C$10=dropdowns!$E$93),$C$9,IF(OR($C$10=dropdowns!$B$92,$C$10=dropdowns!$C$92,$C$10=dropdowns!$D$92,$C$10=dropdowns!$E$92),IFERROR((M58/(1-(1+$C$7/12)^-($C$4-L54)))-M58,0),0))))</f>
        <v>0</v>
      </c>
      <c r="N59" s="393">
        <f>IF(N56&lt;0.001,0,IF(N54&lt;$C$11,0,IF(OR($C$10=dropdowns!$B$93,$C$10=dropdowns!$C$93,$C$10=dropdowns!$D$93,$C$10=dropdowns!$E$93),$C$9,IF(OR($C$10=dropdowns!$B$92,$C$10=dropdowns!$C$92,$C$10=dropdowns!$D$92,$C$10=dropdowns!$E$92),IFERROR((N58/(1-(1+$C$7/12)^-($C$4-M54)))-N58,0),0))))</f>
        <v>0</v>
      </c>
      <c r="O59" s="394">
        <f>SUM(C59:N59)</f>
        <v>0</v>
      </c>
      <c r="P59" s="269"/>
    </row>
    <row r="60" spans="2:16" x14ac:dyDescent="0.25">
      <c r="B60" s="398" t="str">
        <f>Vertaling!$A$300</f>
        <v>Te betalen per maand</v>
      </c>
      <c r="C60" s="399">
        <f t="shared" ref="C60:N60" si="23">SUM(C58:C59)</f>
        <v>0</v>
      </c>
      <c r="D60" s="399">
        <f t="shared" si="23"/>
        <v>0</v>
      </c>
      <c r="E60" s="399">
        <f t="shared" si="23"/>
        <v>0</v>
      </c>
      <c r="F60" s="399">
        <f t="shared" si="23"/>
        <v>0</v>
      </c>
      <c r="G60" s="399">
        <f t="shared" si="23"/>
        <v>0</v>
      </c>
      <c r="H60" s="399">
        <f t="shared" si="23"/>
        <v>0</v>
      </c>
      <c r="I60" s="399">
        <f t="shared" si="23"/>
        <v>0</v>
      </c>
      <c r="J60" s="399">
        <f t="shared" si="23"/>
        <v>0</v>
      </c>
      <c r="K60" s="399">
        <f t="shared" si="23"/>
        <v>0</v>
      </c>
      <c r="L60" s="399">
        <f t="shared" si="23"/>
        <v>0</v>
      </c>
      <c r="M60" s="399">
        <f t="shared" si="23"/>
        <v>0</v>
      </c>
      <c r="N60" s="399">
        <f t="shared" si="23"/>
        <v>0</v>
      </c>
      <c r="O60" s="400">
        <f>SUM(C60:N60)</f>
        <v>0</v>
      </c>
      <c r="P60" s="269"/>
    </row>
    <row r="61" spans="2:16" x14ac:dyDescent="0.25">
      <c r="B61" s="372"/>
      <c r="C61" s="372"/>
      <c r="D61" s="372"/>
      <c r="E61" s="372"/>
      <c r="F61" s="372"/>
      <c r="G61" s="372"/>
      <c r="H61" s="372"/>
      <c r="I61" s="372"/>
      <c r="J61" s="372"/>
      <c r="K61" s="372"/>
      <c r="L61" s="372"/>
      <c r="M61" s="372"/>
      <c r="N61" s="372"/>
      <c r="O61" s="372"/>
      <c r="P61" s="269"/>
    </row>
    <row r="62" spans="2:16" x14ac:dyDescent="0.25">
      <c r="B62" s="387" t="str">
        <f>Vertaling!$A$295&amp;N62/12</f>
        <v>Jaar 7</v>
      </c>
      <c r="C62" s="388">
        <f>N54+1</f>
        <v>73</v>
      </c>
      <c r="D62" s="388">
        <f t="shared" ref="D62:N62" si="24">C62+1</f>
        <v>74</v>
      </c>
      <c r="E62" s="388">
        <f t="shared" si="24"/>
        <v>75</v>
      </c>
      <c r="F62" s="388">
        <f t="shared" si="24"/>
        <v>76</v>
      </c>
      <c r="G62" s="388">
        <f t="shared" si="24"/>
        <v>77</v>
      </c>
      <c r="H62" s="388">
        <f t="shared" si="24"/>
        <v>78</v>
      </c>
      <c r="I62" s="388">
        <f t="shared" si="24"/>
        <v>79</v>
      </c>
      <c r="J62" s="388">
        <f t="shared" si="24"/>
        <v>80</v>
      </c>
      <c r="K62" s="388">
        <f t="shared" si="24"/>
        <v>81</v>
      </c>
      <c r="L62" s="388">
        <f t="shared" si="24"/>
        <v>82</v>
      </c>
      <c r="M62" s="388">
        <f t="shared" si="24"/>
        <v>83</v>
      </c>
      <c r="N62" s="388">
        <f t="shared" si="24"/>
        <v>84</v>
      </c>
      <c r="O62" s="388" t="s">
        <v>54</v>
      </c>
      <c r="P62" s="269"/>
    </row>
    <row r="63" spans="2:16" x14ac:dyDescent="0.25">
      <c r="B63" s="389"/>
      <c r="C63" s="390"/>
      <c r="D63" s="390"/>
      <c r="E63" s="390"/>
      <c r="F63" s="390"/>
      <c r="G63" s="390"/>
      <c r="H63" s="390"/>
      <c r="I63" s="390"/>
      <c r="J63" s="390"/>
      <c r="K63" s="390"/>
      <c r="L63" s="390"/>
      <c r="M63" s="390"/>
      <c r="N63" s="390"/>
      <c r="O63" s="390"/>
      <c r="P63" s="269"/>
    </row>
    <row r="64" spans="2:16" x14ac:dyDescent="0.25">
      <c r="B64" s="391" t="str">
        <f>Vertaling!$A$296</f>
        <v>Bedrag lening begin maand</v>
      </c>
      <c r="C64" s="392">
        <f>N56-N59</f>
        <v>0</v>
      </c>
      <c r="D64" s="393">
        <f t="shared" ref="D64:N64" si="25">C64-C67</f>
        <v>0</v>
      </c>
      <c r="E64" s="393">
        <f t="shared" si="25"/>
        <v>0</v>
      </c>
      <c r="F64" s="393">
        <f t="shared" si="25"/>
        <v>0</v>
      </c>
      <c r="G64" s="393">
        <f t="shared" si="25"/>
        <v>0</v>
      </c>
      <c r="H64" s="393">
        <f t="shared" si="25"/>
        <v>0</v>
      </c>
      <c r="I64" s="393">
        <f t="shared" si="25"/>
        <v>0</v>
      </c>
      <c r="J64" s="393">
        <f t="shared" si="25"/>
        <v>0</v>
      </c>
      <c r="K64" s="393">
        <f t="shared" si="25"/>
        <v>0</v>
      </c>
      <c r="L64" s="393">
        <f t="shared" si="25"/>
        <v>0</v>
      </c>
      <c r="M64" s="393">
        <f t="shared" si="25"/>
        <v>0</v>
      </c>
      <c r="N64" s="393">
        <f t="shared" si="25"/>
        <v>0</v>
      </c>
      <c r="O64" s="394"/>
      <c r="P64" s="269"/>
    </row>
    <row r="65" spans="2:16" x14ac:dyDescent="0.25">
      <c r="B65" s="391"/>
      <c r="C65" s="391"/>
      <c r="D65" s="391"/>
      <c r="E65" s="391"/>
      <c r="F65" s="391"/>
      <c r="G65" s="391"/>
      <c r="H65" s="391"/>
      <c r="I65" s="391"/>
      <c r="J65" s="391"/>
      <c r="K65" s="391"/>
      <c r="L65" s="391"/>
      <c r="M65" s="391"/>
      <c r="N65" s="391"/>
      <c r="O65" s="391"/>
      <c r="P65" s="269"/>
    </row>
    <row r="66" spans="2:16" x14ac:dyDescent="0.25">
      <c r="B66" s="391" t="str">
        <f>Vertaling!$A$297</f>
        <v>Kosten rente per maand</v>
      </c>
      <c r="C66" s="393">
        <f t="shared" ref="C66:N66" si="26">IF(C64&lt;0.001,0,$C$8*C64)</f>
        <v>0</v>
      </c>
      <c r="D66" s="393">
        <f t="shared" si="26"/>
        <v>0</v>
      </c>
      <c r="E66" s="393">
        <f t="shared" si="26"/>
        <v>0</v>
      </c>
      <c r="F66" s="393">
        <f t="shared" si="26"/>
        <v>0</v>
      </c>
      <c r="G66" s="393">
        <f t="shared" si="26"/>
        <v>0</v>
      </c>
      <c r="H66" s="393">
        <f t="shared" si="26"/>
        <v>0</v>
      </c>
      <c r="I66" s="393">
        <f t="shared" si="26"/>
        <v>0</v>
      </c>
      <c r="J66" s="393">
        <f t="shared" si="26"/>
        <v>0</v>
      </c>
      <c r="K66" s="393">
        <f t="shared" si="26"/>
        <v>0</v>
      </c>
      <c r="L66" s="393">
        <f t="shared" si="26"/>
        <v>0</v>
      </c>
      <c r="M66" s="393">
        <f t="shared" si="26"/>
        <v>0</v>
      </c>
      <c r="N66" s="393">
        <f t="shared" si="26"/>
        <v>0</v>
      </c>
      <c r="O66" s="394">
        <f>SUM(C66:N66)</f>
        <v>0</v>
      </c>
      <c r="P66" s="269"/>
    </row>
    <row r="67" spans="2:16" x14ac:dyDescent="0.25">
      <c r="B67" s="391" t="str">
        <f>Vertaling!$A$298</f>
        <v>Aflossing per maand</v>
      </c>
      <c r="C67" s="393">
        <f>IF(C64&lt;0.001,0,IF(C62&lt;$C$11,0,IF(OR($C$10=dropdowns!$B$93,$C$10=dropdowns!$C$93,$C$10=dropdowns!$D$93,$C$10=dropdowns!$E$93),$C$9,IF(OR($C$10=dropdowns!$B$92,$C$10=dropdowns!$C$92,$C$10=dropdowns!$D$92,$C$10=dropdowns!$E$92),IFERROR((C66/(1-(1+$C$7/12)^-($C$4-N54)))-C66,0),0))))</f>
        <v>0</v>
      </c>
      <c r="D67" s="393">
        <f>IF(D64&lt;0.001,0,IF(D62&lt;$C$11,0,IF(OR($C$10=dropdowns!$B$93,$C$10=dropdowns!$C$93,$C$10=dropdowns!$D$93,$C$10=dropdowns!$E$93),$C$9,IF(OR($C$10=dropdowns!$B$92,$C$10=dropdowns!$C$92,$C$10=dropdowns!$D$92,$C$10=dropdowns!$E$92),IFERROR((D66/(1-(1+$C$7/12)^-($C$4-C62)))-D66,0),0))))</f>
        <v>0</v>
      </c>
      <c r="E67" s="393">
        <f>IF(E64&lt;0.001,0,IF(E62&lt;$C$11,0,IF(OR($C$10=dropdowns!$B$93,$C$10=dropdowns!$C$93,$C$10=dropdowns!$D$93,$C$10=dropdowns!$E$93),$C$9,IF(OR($C$10=dropdowns!$B$92,$C$10=dropdowns!$C$92,$C$10=dropdowns!$D$92,$C$10=dropdowns!$E$92),IFERROR((E66/(1-(1+$C$7/12)^-($C$4-D62)))-E66,0),0))))</f>
        <v>0</v>
      </c>
      <c r="F67" s="393">
        <f>IF(F64&lt;0.001,0,IF(F62&lt;$C$11,0,IF(OR($C$10=dropdowns!$B$93,$C$10=dropdowns!$C$93,$C$10=dropdowns!$D$93,$C$10=dropdowns!$E$93),$C$9,IF(OR($C$10=dropdowns!$B$92,$C$10=dropdowns!$C$92,$C$10=dropdowns!$D$92,$C$10=dropdowns!$E$92),IFERROR((F66/(1-(1+$C$7/12)^-($C$4-E62)))-F66,0),0))))</f>
        <v>0</v>
      </c>
      <c r="G67" s="393">
        <f>IF(G64&lt;0.001,0,IF(G62&lt;$C$11,0,IF(OR($C$10=dropdowns!$B$93,$C$10=dropdowns!$C$93,$C$10=dropdowns!$D$93,$C$10=dropdowns!$E$93),$C$9,IF(OR($C$10=dropdowns!$B$92,$C$10=dropdowns!$C$92,$C$10=dropdowns!$D$92,$C$10=dropdowns!$E$92),IFERROR((G66/(1-(1+$C$7/12)^-($C$4-F62)))-G66,0),0))))</f>
        <v>0</v>
      </c>
      <c r="H67" s="393">
        <f>IF(H64&lt;0.001,0,IF(H62&lt;$C$11,0,IF(OR($C$10=dropdowns!$B$93,$C$10=dropdowns!$C$93,$C$10=dropdowns!$D$93,$C$10=dropdowns!$E$93),$C$9,IF(OR($C$10=dropdowns!$B$92,$C$10=dropdowns!$C$92,$C$10=dropdowns!$D$92,$C$10=dropdowns!$E$92),IFERROR((H66/(1-(1+$C$7/12)^-($C$4-G62)))-H66,0),0))))</f>
        <v>0</v>
      </c>
      <c r="I67" s="393">
        <f>IF(I64&lt;0.001,0,IF(I62&lt;$C$11,0,IF(OR($C$10=dropdowns!$B$93,$C$10=dropdowns!$C$93,$C$10=dropdowns!$D$93,$C$10=dropdowns!$E$93),$C$9,IF(OR($C$10=dropdowns!$B$92,$C$10=dropdowns!$C$92,$C$10=dropdowns!$D$92,$C$10=dropdowns!$E$92),IFERROR((I66/(1-(1+$C$7/12)^-($C$4-H62)))-I66,0),0))))</f>
        <v>0</v>
      </c>
      <c r="J67" s="393">
        <f>IF(J64&lt;0.001,0,IF(J62&lt;$C$11,0,IF(OR($C$10=dropdowns!$B$93,$C$10=dropdowns!$C$93,$C$10=dropdowns!$D$93,$C$10=dropdowns!$E$93),$C$9,IF(OR($C$10=dropdowns!$B$92,$C$10=dropdowns!$C$92,$C$10=dropdowns!$D$92,$C$10=dropdowns!$E$92),IFERROR((J66/(1-(1+$C$7/12)^-($C$4-I62)))-J66,0),0))))</f>
        <v>0</v>
      </c>
      <c r="K67" s="393">
        <f>IF(K64&lt;0.001,0,IF(K62&lt;$C$11,0,IF(OR($C$10=dropdowns!$B$93,$C$10=dropdowns!$C$93,$C$10=dropdowns!$D$93,$C$10=dropdowns!$E$93),$C$9,IF(OR($C$10=dropdowns!$B$92,$C$10=dropdowns!$C$92,$C$10=dropdowns!$D$92,$C$10=dropdowns!$E$92),IFERROR((K66/(1-(1+$C$7/12)^-($C$4-J62)))-K66,0),0))))</f>
        <v>0</v>
      </c>
      <c r="L67" s="393">
        <f>IF(L64&lt;0.001,0,IF(L62&lt;$C$11,0,IF(OR($C$10=dropdowns!$B$93,$C$10=dropdowns!$C$93,$C$10=dropdowns!$D$93,$C$10=dropdowns!$E$93),$C$9,IF(OR($C$10=dropdowns!$B$92,$C$10=dropdowns!$C$92,$C$10=dropdowns!$D$92,$C$10=dropdowns!$E$92),IFERROR((L66/(1-(1+$C$7/12)^-($C$4-K62)))-L66,0),0))))</f>
        <v>0</v>
      </c>
      <c r="M67" s="393">
        <f>IF(M64&lt;0.001,0,IF(M62&lt;$C$11,0,IF(OR($C$10=dropdowns!$B$93,$C$10=dropdowns!$C$93,$C$10=dropdowns!$D$93,$C$10=dropdowns!$E$93),$C$9,IF(OR($C$10=dropdowns!$B$92,$C$10=dropdowns!$C$92,$C$10=dropdowns!$D$92,$C$10=dropdowns!$E$92),IFERROR((M66/(1-(1+$C$7/12)^-($C$4-L62)))-M66,0),0))))</f>
        <v>0</v>
      </c>
      <c r="N67" s="393">
        <f>IF(N64&lt;0.001,0,IF(N62&lt;$C$11,0,IF(OR($C$10=dropdowns!$B$93,$C$10=dropdowns!$C$93,$C$10=dropdowns!$D$93,$C$10=dropdowns!$E$93),$C$9,IF(OR($C$10=dropdowns!$B$92,$C$10=dropdowns!$C$92,$C$10=dropdowns!$D$92,$C$10=dropdowns!$E$92),IFERROR((N66/(1-(1+$C$7/12)^-($C$4-M62)))-N66,0),0))))</f>
        <v>0</v>
      </c>
      <c r="O67" s="394">
        <f>SUM(C67:N67)</f>
        <v>0</v>
      </c>
      <c r="P67" s="269"/>
    </row>
    <row r="68" spans="2:16" x14ac:dyDescent="0.25">
      <c r="B68" s="398" t="str">
        <f>Vertaling!$A$300</f>
        <v>Te betalen per maand</v>
      </c>
      <c r="C68" s="399">
        <f t="shared" ref="C68:N68" si="27">SUM(C66:C67)</f>
        <v>0</v>
      </c>
      <c r="D68" s="399">
        <f t="shared" si="27"/>
        <v>0</v>
      </c>
      <c r="E68" s="399">
        <f t="shared" si="27"/>
        <v>0</v>
      </c>
      <c r="F68" s="399">
        <f t="shared" si="27"/>
        <v>0</v>
      </c>
      <c r="G68" s="399">
        <f t="shared" si="27"/>
        <v>0</v>
      </c>
      <c r="H68" s="399">
        <f t="shared" si="27"/>
        <v>0</v>
      </c>
      <c r="I68" s="399">
        <f t="shared" si="27"/>
        <v>0</v>
      </c>
      <c r="J68" s="399">
        <f t="shared" si="27"/>
        <v>0</v>
      </c>
      <c r="K68" s="399">
        <f t="shared" si="27"/>
        <v>0</v>
      </c>
      <c r="L68" s="399">
        <f t="shared" si="27"/>
        <v>0</v>
      </c>
      <c r="M68" s="399">
        <f t="shared" si="27"/>
        <v>0</v>
      </c>
      <c r="N68" s="399">
        <f t="shared" si="27"/>
        <v>0</v>
      </c>
      <c r="O68" s="400">
        <f>SUM(C68:N68)</f>
        <v>0</v>
      </c>
      <c r="P68" s="269"/>
    </row>
    <row r="69" spans="2:16" x14ac:dyDescent="0.25">
      <c r="B69" s="372"/>
      <c r="C69" s="372"/>
      <c r="D69" s="372"/>
      <c r="E69" s="372"/>
      <c r="F69" s="372"/>
      <c r="G69" s="372"/>
      <c r="H69" s="372"/>
      <c r="I69" s="372"/>
      <c r="J69" s="372"/>
      <c r="K69" s="372"/>
      <c r="L69" s="372"/>
      <c r="M69" s="372"/>
      <c r="N69" s="372"/>
      <c r="O69" s="372"/>
      <c r="P69" s="269"/>
    </row>
    <row r="70" spans="2:16" x14ac:dyDescent="0.25">
      <c r="B70" s="387" t="str">
        <f>Vertaling!$A$295&amp;N70/12</f>
        <v>Jaar 8</v>
      </c>
      <c r="C70" s="388">
        <f>N62+1</f>
        <v>85</v>
      </c>
      <c r="D70" s="388">
        <f t="shared" ref="D70:N70" si="28">C70+1</f>
        <v>86</v>
      </c>
      <c r="E70" s="388">
        <f t="shared" si="28"/>
        <v>87</v>
      </c>
      <c r="F70" s="388">
        <f t="shared" si="28"/>
        <v>88</v>
      </c>
      <c r="G70" s="388">
        <f t="shared" si="28"/>
        <v>89</v>
      </c>
      <c r="H70" s="388">
        <f t="shared" si="28"/>
        <v>90</v>
      </c>
      <c r="I70" s="388">
        <f t="shared" si="28"/>
        <v>91</v>
      </c>
      <c r="J70" s="388">
        <f t="shared" si="28"/>
        <v>92</v>
      </c>
      <c r="K70" s="388">
        <f t="shared" si="28"/>
        <v>93</v>
      </c>
      <c r="L70" s="388">
        <f t="shared" si="28"/>
        <v>94</v>
      </c>
      <c r="M70" s="388">
        <f t="shared" si="28"/>
        <v>95</v>
      </c>
      <c r="N70" s="388">
        <f t="shared" si="28"/>
        <v>96</v>
      </c>
      <c r="O70" s="388" t="s">
        <v>54</v>
      </c>
      <c r="P70" s="269"/>
    </row>
    <row r="71" spans="2:16" x14ac:dyDescent="0.25">
      <c r="B71" s="389"/>
      <c r="C71" s="390"/>
      <c r="D71" s="390"/>
      <c r="E71" s="390"/>
      <c r="F71" s="390"/>
      <c r="G71" s="390"/>
      <c r="H71" s="390"/>
      <c r="I71" s="390"/>
      <c r="J71" s="390"/>
      <c r="K71" s="390"/>
      <c r="L71" s="390"/>
      <c r="M71" s="390"/>
      <c r="N71" s="390"/>
      <c r="O71" s="390"/>
      <c r="P71" s="269"/>
    </row>
    <row r="72" spans="2:16" x14ac:dyDescent="0.25">
      <c r="B72" s="391" t="str">
        <f>Vertaling!$A$296</f>
        <v>Bedrag lening begin maand</v>
      </c>
      <c r="C72" s="392">
        <f>N64-N67</f>
        <v>0</v>
      </c>
      <c r="D72" s="393">
        <f t="shared" ref="D72:N72" si="29">C72-C75</f>
        <v>0</v>
      </c>
      <c r="E72" s="393">
        <f t="shared" si="29"/>
        <v>0</v>
      </c>
      <c r="F72" s="393">
        <f t="shared" si="29"/>
        <v>0</v>
      </c>
      <c r="G72" s="393">
        <f t="shared" si="29"/>
        <v>0</v>
      </c>
      <c r="H72" s="393">
        <f t="shared" si="29"/>
        <v>0</v>
      </c>
      <c r="I72" s="393">
        <f t="shared" si="29"/>
        <v>0</v>
      </c>
      <c r="J72" s="393">
        <f t="shared" si="29"/>
        <v>0</v>
      </c>
      <c r="K72" s="393">
        <f t="shared" si="29"/>
        <v>0</v>
      </c>
      <c r="L72" s="393">
        <f t="shared" si="29"/>
        <v>0</v>
      </c>
      <c r="M72" s="393">
        <f t="shared" si="29"/>
        <v>0</v>
      </c>
      <c r="N72" s="393">
        <f t="shared" si="29"/>
        <v>0</v>
      </c>
      <c r="O72" s="394"/>
      <c r="P72" s="269"/>
    </row>
    <row r="73" spans="2:16" x14ac:dyDescent="0.25">
      <c r="B73" s="391"/>
      <c r="C73" s="391"/>
      <c r="D73" s="391"/>
      <c r="E73" s="391"/>
      <c r="F73" s="391"/>
      <c r="G73" s="391"/>
      <c r="H73" s="391"/>
      <c r="I73" s="391"/>
      <c r="J73" s="391"/>
      <c r="K73" s="391"/>
      <c r="L73" s="391"/>
      <c r="M73" s="391"/>
      <c r="N73" s="391"/>
      <c r="O73" s="391"/>
      <c r="P73" s="269"/>
    </row>
    <row r="74" spans="2:16" x14ac:dyDescent="0.25">
      <c r="B74" s="391" t="str">
        <f>Vertaling!$A$297</f>
        <v>Kosten rente per maand</v>
      </c>
      <c r="C74" s="393">
        <f t="shared" ref="C74:N74" si="30">IF(C72&lt;0.001,0,$C$8*C72)</f>
        <v>0</v>
      </c>
      <c r="D74" s="393">
        <f t="shared" si="30"/>
        <v>0</v>
      </c>
      <c r="E74" s="393">
        <f t="shared" si="30"/>
        <v>0</v>
      </c>
      <c r="F74" s="393">
        <f t="shared" si="30"/>
        <v>0</v>
      </c>
      <c r="G74" s="393">
        <f t="shared" si="30"/>
        <v>0</v>
      </c>
      <c r="H74" s="393">
        <f t="shared" si="30"/>
        <v>0</v>
      </c>
      <c r="I74" s="393">
        <f t="shared" si="30"/>
        <v>0</v>
      </c>
      <c r="J74" s="393">
        <f t="shared" si="30"/>
        <v>0</v>
      </c>
      <c r="K74" s="393">
        <f t="shared" si="30"/>
        <v>0</v>
      </c>
      <c r="L74" s="393">
        <f t="shared" si="30"/>
        <v>0</v>
      </c>
      <c r="M74" s="393">
        <f t="shared" si="30"/>
        <v>0</v>
      </c>
      <c r="N74" s="393">
        <f t="shared" si="30"/>
        <v>0</v>
      </c>
      <c r="O74" s="394">
        <f>SUM(C74:N74)</f>
        <v>0</v>
      </c>
      <c r="P74" s="269"/>
    </row>
    <row r="75" spans="2:16" x14ac:dyDescent="0.25">
      <c r="B75" s="391" t="str">
        <f>Vertaling!$A$298</f>
        <v>Aflossing per maand</v>
      </c>
      <c r="C75" s="393">
        <f>IF(C72&lt;0.001,0,IF(C70&lt;$C$11,0,IF(OR($C$10=dropdowns!$B$93,$C$10=dropdowns!$C$93,$C$10=dropdowns!$D$93,$C$10=dropdowns!$E$93),$C$9,IF(OR($C$10=dropdowns!$B$92,$C$10=dropdowns!$C$92,$C$10=dropdowns!$D$92,$C$10=dropdowns!$E$92),IFERROR((C74/(1-(1+$C$7/12)^-($C$4-N62)))-C74,0),0))))</f>
        <v>0</v>
      </c>
      <c r="D75" s="393">
        <f>IF(D72&lt;0.001,0,IF(D70&lt;$C$11,0,IF(OR($C$10=dropdowns!$B$93,$C$10=dropdowns!$C$93,$C$10=dropdowns!$D$93,$C$10=dropdowns!$E$93),$C$9,IF(OR($C$10=dropdowns!$B$92,$C$10=dropdowns!$C$92,$C$10=dropdowns!$D$92,$C$10=dropdowns!$E$92),IFERROR((D74/(1-(1+$C$7/12)^-($C$4-C70)))-D74,0),0))))</f>
        <v>0</v>
      </c>
      <c r="E75" s="393">
        <f>IF(E72&lt;0.001,0,IF(E70&lt;$C$11,0,IF(OR($C$10=dropdowns!$B$93,$C$10=dropdowns!$C$93,$C$10=dropdowns!$D$93,$C$10=dropdowns!$E$93),$C$9,IF(OR($C$10=dropdowns!$B$92,$C$10=dropdowns!$C$92,$C$10=dropdowns!$D$92,$C$10=dropdowns!$E$92),IFERROR((E74/(1-(1+$C$7/12)^-($C$4-D70)))-E74,0),0))))</f>
        <v>0</v>
      </c>
      <c r="F75" s="393">
        <f>IF(F72&lt;0.001,0,IF(F70&lt;$C$11,0,IF(OR($C$10=dropdowns!$B$93,$C$10=dropdowns!$C$93,$C$10=dropdowns!$D$93,$C$10=dropdowns!$E$93),$C$9,IF(OR($C$10=dropdowns!$B$92,$C$10=dropdowns!$C$92,$C$10=dropdowns!$D$92,$C$10=dropdowns!$E$92),IFERROR((F74/(1-(1+$C$7/12)^-($C$4-E70)))-F74,0),0))))</f>
        <v>0</v>
      </c>
      <c r="G75" s="393">
        <f>IF(G72&lt;0.001,0,IF(G70&lt;$C$11,0,IF(OR($C$10=dropdowns!$B$93,$C$10=dropdowns!$C$93,$C$10=dropdowns!$D$93,$C$10=dropdowns!$E$93),$C$9,IF(OR($C$10=dropdowns!$B$92,$C$10=dropdowns!$C$92,$C$10=dropdowns!$D$92,$C$10=dropdowns!$E$92),IFERROR((G74/(1-(1+$C$7/12)^-($C$4-F70)))-G74,0),0))))</f>
        <v>0</v>
      </c>
      <c r="H75" s="393">
        <f>IF(H72&lt;0.001,0,IF(H70&lt;$C$11,0,IF(OR($C$10=dropdowns!$B$93,$C$10=dropdowns!$C$93,$C$10=dropdowns!$D$93,$C$10=dropdowns!$E$93),$C$9,IF(OR($C$10=dropdowns!$B$92,$C$10=dropdowns!$C$92,$C$10=dropdowns!$D$92,$C$10=dropdowns!$E$92),IFERROR((H74/(1-(1+$C$7/12)^-($C$4-G70)))-H74,0),0))))</f>
        <v>0</v>
      </c>
      <c r="I75" s="393">
        <f>IF(I72&lt;0.001,0,IF(I70&lt;$C$11,0,IF(OR($C$10=dropdowns!$B$93,$C$10=dropdowns!$C$93,$C$10=dropdowns!$D$93,$C$10=dropdowns!$E$93),$C$9,IF(OR($C$10=dropdowns!$B$92,$C$10=dropdowns!$C$92,$C$10=dropdowns!$D$92,$C$10=dropdowns!$E$92),IFERROR((I74/(1-(1+$C$7/12)^-($C$4-H70)))-I74,0),0))))</f>
        <v>0</v>
      </c>
      <c r="J75" s="393">
        <f>IF(J72&lt;0.001,0,IF(J70&lt;$C$11,0,IF(OR($C$10=dropdowns!$B$93,$C$10=dropdowns!$C$93,$C$10=dropdowns!$D$93,$C$10=dropdowns!$E$93),$C$9,IF(OR($C$10=dropdowns!$B$92,$C$10=dropdowns!$C$92,$C$10=dropdowns!$D$92,$C$10=dropdowns!$E$92),IFERROR((J74/(1-(1+$C$7/12)^-($C$4-I70)))-J74,0),0))))</f>
        <v>0</v>
      </c>
      <c r="K75" s="393">
        <f>IF(K72&lt;0.001,0,IF(K70&lt;$C$11,0,IF(OR($C$10=dropdowns!$B$93,$C$10=dropdowns!$C$93,$C$10=dropdowns!$D$93,$C$10=dropdowns!$E$93),$C$9,IF(OR($C$10=dropdowns!$B$92,$C$10=dropdowns!$C$92,$C$10=dropdowns!$D$92,$C$10=dropdowns!$E$92),IFERROR((K74/(1-(1+$C$7/12)^-($C$4-J70)))-K74,0),0))))</f>
        <v>0</v>
      </c>
      <c r="L75" s="393">
        <f>IF(L72&lt;0.001,0,IF(L70&lt;$C$11,0,IF(OR($C$10=dropdowns!$B$93,$C$10=dropdowns!$C$93,$C$10=dropdowns!$D$93,$C$10=dropdowns!$E$93),$C$9,IF(OR($C$10=dropdowns!$B$92,$C$10=dropdowns!$C$92,$C$10=dropdowns!$D$92,$C$10=dropdowns!$E$92),IFERROR((L74/(1-(1+$C$7/12)^-($C$4-K70)))-L74,0),0))))</f>
        <v>0</v>
      </c>
      <c r="M75" s="393">
        <f>IF(M72&lt;0.001,0,IF(M70&lt;$C$11,0,IF(OR($C$10=dropdowns!$B$93,$C$10=dropdowns!$C$93,$C$10=dropdowns!$D$93,$C$10=dropdowns!$E$93),$C$9,IF(OR($C$10=dropdowns!$B$92,$C$10=dropdowns!$C$92,$C$10=dropdowns!$D$92,$C$10=dropdowns!$E$92),IFERROR((M74/(1-(1+$C$7/12)^-($C$4-L70)))-M74,0),0))))</f>
        <v>0</v>
      </c>
      <c r="N75" s="393">
        <f>IF(N72&lt;0.001,0,IF(N70&lt;$C$11,0,IF(OR($C$10=dropdowns!$B$93,$C$10=dropdowns!$C$93,$C$10=dropdowns!$D$93,$C$10=dropdowns!$E$93),$C$9,IF(OR($C$10=dropdowns!$B$92,$C$10=dropdowns!$C$92,$C$10=dropdowns!$D$92,$C$10=dropdowns!$E$92),IFERROR((N74/(1-(1+$C$7/12)^-($C$4-M70)))-N74,0),0))))</f>
        <v>0</v>
      </c>
      <c r="O75" s="394">
        <f>SUM(C75:N75)</f>
        <v>0</v>
      </c>
      <c r="P75" s="269"/>
    </row>
    <row r="76" spans="2:16" x14ac:dyDescent="0.25">
      <c r="B76" s="398" t="str">
        <f>Vertaling!$A$300</f>
        <v>Te betalen per maand</v>
      </c>
      <c r="C76" s="399">
        <f t="shared" ref="C76:N76" si="31">SUM(C74:C75)</f>
        <v>0</v>
      </c>
      <c r="D76" s="399">
        <f t="shared" si="31"/>
        <v>0</v>
      </c>
      <c r="E76" s="399">
        <f t="shared" si="31"/>
        <v>0</v>
      </c>
      <c r="F76" s="399">
        <f t="shared" si="31"/>
        <v>0</v>
      </c>
      <c r="G76" s="399">
        <f t="shared" si="31"/>
        <v>0</v>
      </c>
      <c r="H76" s="399">
        <f t="shared" si="31"/>
        <v>0</v>
      </c>
      <c r="I76" s="399">
        <f t="shared" si="31"/>
        <v>0</v>
      </c>
      <c r="J76" s="399">
        <f t="shared" si="31"/>
        <v>0</v>
      </c>
      <c r="K76" s="399">
        <f t="shared" si="31"/>
        <v>0</v>
      </c>
      <c r="L76" s="399">
        <f t="shared" si="31"/>
        <v>0</v>
      </c>
      <c r="M76" s="399">
        <f t="shared" si="31"/>
        <v>0</v>
      </c>
      <c r="N76" s="399">
        <f t="shared" si="31"/>
        <v>0</v>
      </c>
      <c r="O76" s="400">
        <f>SUM(C76:N76)</f>
        <v>0</v>
      </c>
      <c r="P76" s="269"/>
    </row>
    <row r="77" spans="2:16" x14ac:dyDescent="0.25">
      <c r="B77" s="372"/>
      <c r="C77" s="372"/>
      <c r="D77" s="372"/>
      <c r="E77" s="372"/>
      <c r="F77" s="372"/>
      <c r="G77" s="372"/>
      <c r="H77" s="372"/>
      <c r="I77" s="372"/>
      <c r="J77" s="372"/>
      <c r="K77" s="372"/>
      <c r="L77" s="372"/>
      <c r="M77" s="372"/>
      <c r="N77" s="372"/>
      <c r="O77" s="372"/>
      <c r="P77" s="269"/>
    </row>
    <row r="78" spans="2:16" x14ac:dyDescent="0.25">
      <c r="B78" s="387" t="str">
        <f>Vertaling!$A$295&amp;N78/12</f>
        <v>Jaar 9</v>
      </c>
      <c r="C78" s="388">
        <f>N70+1</f>
        <v>97</v>
      </c>
      <c r="D78" s="388">
        <f t="shared" ref="D78:N78" si="32">C78+1</f>
        <v>98</v>
      </c>
      <c r="E78" s="388">
        <f t="shared" si="32"/>
        <v>99</v>
      </c>
      <c r="F78" s="388">
        <f t="shared" si="32"/>
        <v>100</v>
      </c>
      <c r="G78" s="388">
        <f t="shared" si="32"/>
        <v>101</v>
      </c>
      <c r="H78" s="388">
        <f t="shared" si="32"/>
        <v>102</v>
      </c>
      <c r="I78" s="388">
        <f t="shared" si="32"/>
        <v>103</v>
      </c>
      <c r="J78" s="388">
        <f t="shared" si="32"/>
        <v>104</v>
      </c>
      <c r="K78" s="388">
        <f t="shared" si="32"/>
        <v>105</v>
      </c>
      <c r="L78" s="388">
        <f t="shared" si="32"/>
        <v>106</v>
      </c>
      <c r="M78" s="388">
        <f t="shared" si="32"/>
        <v>107</v>
      </c>
      <c r="N78" s="388">
        <f t="shared" si="32"/>
        <v>108</v>
      </c>
      <c r="O78" s="388" t="s">
        <v>54</v>
      </c>
      <c r="P78" s="269"/>
    </row>
    <row r="79" spans="2:16" x14ac:dyDescent="0.25">
      <c r="B79" s="389"/>
      <c r="C79" s="390"/>
      <c r="D79" s="390"/>
      <c r="E79" s="390"/>
      <c r="F79" s="390"/>
      <c r="G79" s="390"/>
      <c r="H79" s="390"/>
      <c r="I79" s="390"/>
      <c r="J79" s="390"/>
      <c r="K79" s="390"/>
      <c r="L79" s="390"/>
      <c r="M79" s="390"/>
      <c r="N79" s="390"/>
      <c r="O79" s="390"/>
      <c r="P79" s="269"/>
    </row>
    <row r="80" spans="2:16" x14ac:dyDescent="0.25">
      <c r="B80" s="391" t="str">
        <f>Vertaling!$A$296</f>
        <v>Bedrag lening begin maand</v>
      </c>
      <c r="C80" s="392">
        <f>N72-N75</f>
        <v>0</v>
      </c>
      <c r="D80" s="393">
        <f t="shared" ref="D80:N80" si="33">C80-C83</f>
        <v>0</v>
      </c>
      <c r="E80" s="393">
        <f t="shared" si="33"/>
        <v>0</v>
      </c>
      <c r="F80" s="393">
        <f t="shared" si="33"/>
        <v>0</v>
      </c>
      <c r="G80" s="393">
        <f t="shared" si="33"/>
        <v>0</v>
      </c>
      <c r="H80" s="393">
        <f t="shared" si="33"/>
        <v>0</v>
      </c>
      <c r="I80" s="393">
        <f t="shared" si="33"/>
        <v>0</v>
      </c>
      <c r="J80" s="393">
        <f t="shared" si="33"/>
        <v>0</v>
      </c>
      <c r="K80" s="393">
        <f t="shared" si="33"/>
        <v>0</v>
      </c>
      <c r="L80" s="393">
        <f t="shared" si="33"/>
        <v>0</v>
      </c>
      <c r="M80" s="393">
        <f t="shared" si="33"/>
        <v>0</v>
      </c>
      <c r="N80" s="393">
        <f t="shared" si="33"/>
        <v>0</v>
      </c>
      <c r="O80" s="394"/>
      <c r="P80" s="269"/>
    </row>
    <row r="81" spans="2:18" x14ac:dyDescent="0.25">
      <c r="B81" s="391"/>
      <c r="C81" s="391"/>
      <c r="D81" s="391"/>
      <c r="E81" s="391"/>
      <c r="F81" s="391"/>
      <c r="G81" s="391"/>
      <c r="H81" s="391"/>
      <c r="I81" s="391"/>
      <c r="J81" s="391"/>
      <c r="K81" s="391"/>
      <c r="L81" s="391"/>
      <c r="M81" s="391"/>
      <c r="N81" s="391"/>
      <c r="O81" s="391"/>
      <c r="P81" s="269"/>
    </row>
    <row r="82" spans="2:18" x14ac:dyDescent="0.25">
      <c r="B82" s="391" t="str">
        <f>Vertaling!$A$297</f>
        <v>Kosten rente per maand</v>
      </c>
      <c r="C82" s="393">
        <f t="shared" ref="C82:N82" si="34">IF(C80&lt;0.001,0,$C$8*C80)</f>
        <v>0</v>
      </c>
      <c r="D82" s="393">
        <f t="shared" si="34"/>
        <v>0</v>
      </c>
      <c r="E82" s="393">
        <f t="shared" si="34"/>
        <v>0</v>
      </c>
      <c r="F82" s="393">
        <f t="shared" si="34"/>
        <v>0</v>
      </c>
      <c r="G82" s="393">
        <f t="shared" si="34"/>
        <v>0</v>
      </c>
      <c r="H82" s="393">
        <f t="shared" si="34"/>
        <v>0</v>
      </c>
      <c r="I82" s="393">
        <f t="shared" si="34"/>
        <v>0</v>
      </c>
      <c r="J82" s="393">
        <f t="shared" si="34"/>
        <v>0</v>
      </c>
      <c r="K82" s="393">
        <f t="shared" si="34"/>
        <v>0</v>
      </c>
      <c r="L82" s="393">
        <f t="shared" si="34"/>
        <v>0</v>
      </c>
      <c r="M82" s="393">
        <f t="shared" si="34"/>
        <v>0</v>
      </c>
      <c r="N82" s="393">
        <f t="shared" si="34"/>
        <v>0</v>
      </c>
      <c r="O82" s="394">
        <f>SUM(C82:N82)</f>
        <v>0</v>
      </c>
      <c r="P82" s="269"/>
    </row>
    <row r="83" spans="2:18" x14ac:dyDescent="0.25">
      <c r="B83" s="391" t="str">
        <f>Vertaling!$A$298</f>
        <v>Aflossing per maand</v>
      </c>
      <c r="C83" s="393">
        <f>IF(C80&lt;0.001,0,IF(C78&lt;$C$11,0,IF(OR($C$10=dropdowns!$B$93,$C$10=dropdowns!$C$93,$C$10=dropdowns!$D$93,$C$10=dropdowns!$E$93),$C$9,IF(OR($C$10=dropdowns!$B$92,$C$10=dropdowns!$C$92,$C$10=dropdowns!$D$92,$C$10=dropdowns!$E$92),IFERROR((C82/(1-(1+$C$7/12)^-($C$4-N70)))-C82,0),0))))</f>
        <v>0</v>
      </c>
      <c r="D83" s="393">
        <f>IF(D80&lt;0.001,0,IF(D78&lt;$C$11,0,IF(OR($C$10=dropdowns!$B$93,$C$10=dropdowns!$C$93,$C$10=dropdowns!$D$93,$C$10=dropdowns!$E$93),$C$9,IF(OR($C$10=dropdowns!$B$92,$C$10=dropdowns!$C$92,$C$10=dropdowns!$D$92,$C$10=dropdowns!$E$92),IFERROR((D82/(1-(1+$C$7/12)^-($C$4-C78)))-D82,0),0))))</f>
        <v>0</v>
      </c>
      <c r="E83" s="393">
        <f>IF(E80&lt;0.001,0,IF(E78&lt;$C$11,0,IF(OR($C$10=dropdowns!$B$93,$C$10=dropdowns!$C$93,$C$10=dropdowns!$D$93,$C$10=dropdowns!$E$93),$C$9,IF(OR($C$10=dropdowns!$B$92,$C$10=dropdowns!$C$92,$C$10=dropdowns!$D$92,$C$10=dropdowns!$E$92),IFERROR((E82/(1-(1+$C$7/12)^-($C$4-D78)))-E82,0),0))))</f>
        <v>0</v>
      </c>
      <c r="F83" s="393">
        <f>IF(F80&lt;0.001,0,IF(F78&lt;$C$11,0,IF(OR($C$10=dropdowns!$B$93,$C$10=dropdowns!$C$93,$C$10=dropdowns!$D$93,$C$10=dropdowns!$E$93),$C$9,IF(OR($C$10=dropdowns!$B$92,$C$10=dropdowns!$C$92,$C$10=dropdowns!$D$92,$C$10=dropdowns!$E$92),IFERROR((F82/(1-(1+$C$7/12)^-($C$4-E78)))-F82,0),0))))</f>
        <v>0</v>
      </c>
      <c r="G83" s="393">
        <f>IF(G80&lt;0.001,0,IF(G78&lt;$C$11,0,IF(OR($C$10=dropdowns!$B$93,$C$10=dropdowns!$C$93,$C$10=dropdowns!$D$93,$C$10=dropdowns!$E$93),$C$9,IF(OR($C$10=dropdowns!$B$92,$C$10=dropdowns!$C$92,$C$10=dropdowns!$D$92,$C$10=dropdowns!$E$92),IFERROR((G82/(1-(1+$C$7/12)^-($C$4-F78)))-G82,0),0))))</f>
        <v>0</v>
      </c>
      <c r="H83" s="393">
        <f>IF(H80&lt;0.001,0,IF(H78&lt;$C$11,0,IF(OR($C$10=dropdowns!$B$93,$C$10=dropdowns!$C$93,$C$10=dropdowns!$D$93,$C$10=dropdowns!$E$93),$C$9,IF(OR($C$10=dropdowns!$B$92,$C$10=dropdowns!$C$92,$C$10=dropdowns!$D$92,$C$10=dropdowns!$E$92),IFERROR((H82/(1-(1+$C$7/12)^-($C$4-G78)))-H82,0),0))))</f>
        <v>0</v>
      </c>
      <c r="I83" s="393">
        <f>IF(I80&lt;0.001,0,IF(I78&lt;$C$11,0,IF(OR($C$10=dropdowns!$B$93,$C$10=dropdowns!$C$93,$C$10=dropdowns!$D$93,$C$10=dropdowns!$E$93),$C$9,IF(OR($C$10=dropdowns!$B$92,$C$10=dropdowns!$C$92,$C$10=dropdowns!$D$92,$C$10=dropdowns!$E$92),IFERROR((I82/(1-(1+$C$7/12)^-($C$4-H78)))-I82,0),0))))</f>
        <v>0</v>
      </c>
      <c r="J83" s="393">
        <f>IF(J80&lt;0.001,0,IF(J78&lt;$C$11,0,IF(OR($C$10=dropdowns!$B$93,$C$10=dropdowns!$C$93,$C$10=dropdowns!$D$93,$C$10=dropdowns!$E$93),$C$9,IF(OR($C$10=dropdowns!$B$92,$C$10=dropdowns!$C$92,$C$10=dropdowns!$D$92,$C$10=dropdowns!$E$92),IFERROR((J82/(1-(1+$C$7/12)^-($C$4-I78)))-J82,0),0))))</f>
        <v>0</v>
      </c>
      <c r="K83" s="393">
        <f>IF(K80&lt;0.001,0,IF(K78&lt;$C$11,0,IF(OR($C$10=dropdowns!$B$93,$C$10=dropdowns!$C$93,$C$10=dropdowns!$D$93,$C$10=dropdowns!$E$93),$C$9,IF(OR($C$10=dropdowns!$B$92,$C$10=dropdowns!$C$92,$C$10=dropdowns!$D$92,$C$10=dropdowns!$E$92),IFERROR((K82/(1-(1+$C$7/12)^-($C$4-J78)))-K82,0),0))))</f>
        <v>0</v>
      </c>
      <c r="L83" s="393">
        <f>IF(L80&lt;0.001,0,IF(L78&lt;$C$11,0,IF(OR($C$10=dropdowns!$B$93,$C$10=dropdowns!$C$93,$C$10=dropdowns!$D$93,$C$10=dropdowns!$E$93),$C$9,IF(OR($C$10=dropdowns!$B$92,$C$10=dropdowns!$C$92,$C$10=dropdowns!$D$92,$C$10=dropdowns!$E$92),IFERROR((L82/(1-(1+$C$7/12)^-($C$4-K78)))-L82,0),0))))</f>
        <v>0</v>
      </c>
      <c r="M83" s="393">
        <f>IF(M80&lt;0.001,0,IF(M78&lt;$C$11,0,IF(OR($C$10=dropdowns!$B$93,$C$10=dropdowns!$C$93,$C$10=dropdowns!$D$93,$C$10=dropdowns!$E$93),$C$9,IF(OR($C$10=dropdowns!$B$92,$C$10=dropdowns!$C$92,$C$10=dropdowns!$D$92,$C$10=dropdowns!$E$92),IFERROR((M82/(1-(1+$C$7/12)^-($C$4-L78)))-M82,0),0))))</f>
        <v>0</v>
      </c>
      <c r="N83" s="393">
        <f>IF(N80&lt;0.001,0,IF(N78&lt;$C$11,0,IF(OR($C$10=dropdowns!$B$93,$C$10=dropdowns!$C$93,$C$10=dropdowns!$D$93,$C$10=dropdowns!$E$93),$C$9,IF(OR($C$10=dropdowns!$B$92,$C$10=dropdowns!$C$92,$C$10=dropdowns!$D$92,$C$10=dropdowns!$E$92),IFERROR((N82/(1-(1+$C$7/12)^-($C$4-M78)))-N82,0),0))))</f>
        <v>0</v>
      </c>
      <c r="O83" s="394">
        <f>SUM(C83:N83)</f>
        <v>0</v>
      </c>
      <c r="P83" s="269"/>
    </row>
    <row r="84" spans="2:18" x14ac:dyDescent="0.25">
      <c r="B84" s="398" t="str">
        <f>Vertaling!$A$300</f>
        <v>Te betalen per maand</v>
      </c>
      <c r="C84" s="399">
        <f t="shared" ref="C84:N84" si="35">SUM(C82:C83)</f>
        <v>0</v>
      </c>
      <c r="D84" s="399">
        <f t="shared" si="35"/>
        <v>0</v>
      </c>
      <c r="E84" s="399">
        <f t="shared" si="35"/>
        <v>0</v>
      </c>
      <c r="F84" s="399">
        <f t="shared" si="35"/>
        <v>0</v>
      </c>
      <c r="G84" s="399">
        <f t="shared" si="35"/>
        <v>0</v>
      </c>
      <c r="H84" s="399">
        <f t="shared" si="35"/>
        <v>0</v>
      </c>
      <c r="I84" s="399">
        <f t="shared" si="35"/>
        <v>0</v>
      </c>
      <c r="J84" s="399">
        <f t="shared" si="35"/>
        <v>0</v>
      </c>
      <c r="K84" s="399">
        <f t="shared" si="35"/>
        <v>0</v>
      </c>
      <c r="L84" s="399">
        <f t="shared" si="35"/>
        <v>0</v>
      </c>
      <c r="M84" s="399">
        <f t="shared" si="35"/>
        <v>0</v>
      </c>
      <c r="N84" s="399">
        <f t="shared" si="35"/>
        <v>0</v>
      </c>
      <c r="O84" s="400">
        <f>SUM(C84:N84)</f>
        <v>0</v>
      </c>
      <c r="P84" s="269"/>
    </row>
    <row r="85" spans="2:18" x14ac:dyDescent="0.25">
      <c r="B85" s="372"/>
      <c r="C85" s="372"/>
      <c r="D85" s="372"/>
      <c r="E85" s="372"/>
      <c r="F85" s="372"/>
      <c r="G85" s="372"/>
      <c r="H85" s="372"/>
      <c r="I85" s="372"/>
      <c r="J85" s="372"/>
      <c r="K85" s="372"/>
      <c r="L85" s="372"/>
      <c r="M85" s="372"/>
      <c r="N85" s="372"/>
      <c r="O85" s="372"/>
      <c r="P85" s="269"/>
    </row>
    <row r="86" spans="2:18" x14ac:dyDescent="0.25">
      <c r="B86" s="387" t="str">
        <f>Vertaling!$A$295&amp;N86/12</f>
        <v>Jaar 10</v>
      </c>
      <c r="C86" s="388">
        <f>N78+1</f>
        <v>109</v>
      </c>
      <c r="D86" s="388">
        <f t="shared" ref="D86:N86" si="36">C86+1</f>
        <v>110</v>
      </c>
      <c r="E86" s="388">
        <f t="shared" si="36"/>
        <v>111</v>
      </c>
      <c r="F86" s="388">
        <f t="shared" si="36"/>
        <v>112</v>
      </c>
      <c r="G86" s="388">
        <f t="shared" si="36"/>
        <v>113</v>
      </c>
      <c r="H86" s="388">
        <f t="shared" si="36"/>
        <v>114</v>
      </c>
      <c r="I86" s="388">
        <f t="shared" si="36"/>
        <v>115</v>
      </c>
      <c r="J86" s="388">
        <f t="shared" si="36"/>
        <v>116</v>
      </c>
      <c r="K86" s="388">
        <f t="shared" si="36"/>
        <v>117</v>
      </c>
      <c r="L86" s="388">
        <f t="shared" si="36"/>
        <v>118</v>
      </c>
      <c r="M86" s="388">
        <f t="shared" si="36"/>
        <v>119</v>
      </c>
      <c r="N86" s="388">
        <f t="shared" si="36"/>
        <v>120</v>
      </c>
      <c r="O86" s="388" t="s">
        <v>54</v>
      </c>
      <c r="P86" s="269"/>
    </row>
    <row r="87" spans="2:18" x14ac:dyDescent="0.25">
      <c r="B87" s="389"/>
      <c r="C87" s="390"/>
      <c r="D87" s="390"/>
      <c r="E87" s="390"/>
      <c r="F87" s="390"/>
      <c r="G87" s="390"/>
      <c r="H87" s="390"/>
      <c r="I87" s="390"/>
      <c r="J87" s="390"/>
      <c r="K87" s="390"/>
      <c r="L87" s="390"/>
      <c r="M87" s="390"/>
      <c r="N87" s="390"/>
      <c r="O87" s="390"/>
      <c r="P87" s="269"/>
    </row>
    <row r="88" spans="2:18" x14ac:dyDescent="0.25">
      <c r="B88" s="391" t="str">
        <f>Vertaling!$A$296</f>
        <v>Bedrag lening begin maand</v>
      </c>
      <c r="C88" s="392">
        <f>N80-N83</f>
        <v>0</v>
      </c>
      <c r="D88" s="393">
        <f t="shared" ref="D88:N88" si="37">C88-C91</f>
        <v>0</v>
      </c>
      <c r="E88" s="393">
        <f t="shared" si="37"/>
        <v>0</v>
      </c>
      <c r="F88" s="393">
        <f t="shared" si="37"/>
        <v>0</v>
      </c>
      <c r="G88" s="393">
        <f t="shared" si="37"/>
        <v>0</v>
      </c>
      <c r="H88" s="393">
        <f t="shared" si="37"/>
        <v>0</v>
      </c>
      <c r="I88" s="393">
        <f t="shared" si="37"/>
        <v>0</v>
      </c>
      <c r="J88" s="393">
        <f t="shared" si="37"/>
        <v>0</v>
      </c>
      <c r="K88" s="393">
        <f t="shared" si="37"/>
        <v>0</v>
      </c>
      <c r="L88" s="393">
        <f t="shared" si="37"/>
        <v>0</v>
      </c>
      <c r="M88" s="393">
        <f t="shared" si="37"/>
        <v>0</v>
      </c>
      <c r="N88" s="393">
        <f t="shared" si="37"/>
        <v>0</v>
      </c>
      <c r="O88" s="394"/>
      <c r="P88" s="269"/>
    </row>
    <row r="89" spans="2:18" x14ac:dyDescent="0.25">
      <c r="B89" s="391"/>
      <c r="C89" s="391"/>
      <c r="D89" s="391"/>
      <c r="E89" s="391"/>
      <c r="F89" s="391"/>
      <c r="G89" s="391"/>
      <c r="H89" s="391"/>
      <c r="I89" s="391"/>
      <c r="J89" s="391"/>
      <c r="K89" s="391"/>
      <c r="L89" s="391"/>
      <c r="M89" s="391"/>
      <c r="N89" s="391"/>
      <c r="O89" s="391"/>
      <c r="P89" s="269"/>
    </row>
    <row r="90" spans="2:18" x14ac:dyDescent="0.25">
      <c r="B90" s="391" t="str">
        <f>Vertaling!$A$297</f>
        <v>Kosten rente per maand</v>
      </c>
      <c r="C90" s="393">
        <f t="shared" ref="C90:N90" si="38">IF(C88&lt;0.001,0,$C$8*C88)</f>
        <v>0</v>
      </c>
      <c r="D90" s="393">
        <f t="shared" si="38"/>
        <v>0</v>
      </c>
      <c r="E90" s="393">
        <f t="shared" si="38"/>
        <v>0</v>
      </c>
      <c r="F90" s="393">
        <f t="shared" si="38"/>
        <v>0</v>
      </c>
      <c r="G90" s="393">
        <f t="shared" si="38"/>
        <v>0</v>
      </c>
      <c r="H90" s="393">
        <f t="shared" si="38"/>
        <v>0</v>
      </c>
      <c r="I90" s="393">
        <f t="shared" si="38"/>
        <v>0</v>
      </c>
      <c r="J90" s="393">
        <f t="shared" si="38"/>
        <v>0</v>
      </c>
      <c r="K90" s="393">
        <f t="shared" si="38"/>
        <v>0</v>
      </c>
      <c r="L90" s="393">
        <f t="shared" si="38"/>
        <v>0</v>
      </c>
      <c r="M90" s="393">
        <f t="shared" si="38"/>
        <v>0</v>
      </c>
      <c r="N90" s="393">
        <f t="shared" si="38"/>
        <v>0</v>
      </c>
      <c r="O90" s="394">
        <f>SUM(C90:N90)</f>
        <v>0</v>
      </c>
      <c r="P90" s="269"/>
    </row>
    <row r="91" spans="2:18" x14ac:dyDescent="0.25">
      <c r="B91" s="391" t="str">
        <f>Vertaling!$A$298</f>
        <v>Aflossing per maand</v>
      </c>
      <c r="C91" s="393">
        <f>IF(C88&lt;0.001,0,IF(C86&lt;$C$11,0,IF(OR($C$10=dropdowns!$B$93,$C$10=dropdowns!$C$93,$C$10=dropdowns!$D$93,$C$10=dropdowns!$E$93),$C$9,IF(OR($C$10=dropdowns!$B$92,$C$10=dropdowns!$C$92,$C$10=dropdowns!$D$92,$C$10=dropdowns!$E$92),IFERROR((C90/(1-(1+$C$7/12)^-($C$4-N78)))-C90,0),0))))</f>
        <v>0</v>
      </c>
      <c r="D91" s="393">
        <f>IF(D88&lt;0.001,0,IF(D86&lt;$C$11,0,IF(OR($C$10=dropdowns!$B$93,$C$10=dropdowns!$C$93,$C$10=dropdowns!$D$93,$C$10=dropdowns!$E$93),$C$9,IF(OR($C$10=dropdowns!$B$92,$C$10=dropdowns!$C$92,$C$10=dropdowns!$D$92,$C$10=dropdowns!$E$92),IFERROR((D90/(1-(1+$C$7/12)^-($C$4-C86)))-D90,0),0))))</f>
        <v>0</v>
      </c>
      <c r="E91" s="393">
        <f>IF(E88&lt;0.001,0,IF(E86&lt;$C$11,0,IF(OR($C$10=dropdowns!$B$93,$C$10=dropdowns!$C$93,$C$10=dropdowns!$D$93,$C$10=dropdowns!$E$93),$C$9,IF(OR($C$10=dropdowns!$B$92,$C$10=dropdowns!$C$92,$C$10=dropdowns!$D$92,$C$10=dropdowns!$E$92),IFERROR((E90/(1-(1+$C$7/12)^-($C$4-D86)))-E90,0),0))))</f>
        <v>0</v>
      </c>
      <c r="F91" s="393">
        <f>IF(F88&lt;0.001,0,IF(F86&lt;$C$11,0,IF(OR($C$10=dropdowns!$B$93,$C$10=dropdowns!$C$93,$C$10=dropdowns!$D$93,$C$10=dropdowns!$E$93),$C$9,IF(OR($C$10=dropdowns!$B$92,$C$10=dropdowns!$C$92,$C$10=dropdowns!$D$92,$C$10=dropdowns!$E$92),IFERROR((F90/(1-(1+$C$7/12)^-($C$4-E86)))-F90,0),0))))</f>
        <v>0</v>
      </c>
      <c r="G91" s="393">
        <f>IF(G88&lt;0.001,0,IF(G86&lt;$C$11,0,IF(OR($C$10=dropdowns!$B$93,$C$10=dropdowns!$C$93,$C$10=dropdowns!$D$93,$C$10=dropdowns!$E$93),$C$9,IF(OR($C$10=dropdowns!$B$92,$C$10=dropdowns!$C$92,$C$10=dropdowns!$D$92,$C$10=dropdowns!$E$92),IFERROR((G90/(1-(1+$C$7/12)^-($C$4-F86)))-G90,0),0))))</f>
        <v>0</v>
      </c>
      <c r="H91" s="393">
        <f>IF(H88&lt;0.001,0,IF(H86&lt;$C$11,0,IF(OR($C$10=dropdowns!$B$93,$C$10=dropdowns!$C$93,$C$10=dropdowns!$D$93,$C$10=dropdowns!$E$93),$C$9,IF(OR($C$10=dropdowns!$B$92,$C$10=dropdowns!$C$92,$C$10=dropdowns!$D$92,$C$10=dropdowns!$E$92),IFERROR((H90/(1-(1+$C$7/12)^-($C$4-G86)))-H90,0),0))))</f>
        <v>0</v>
      </c>
      <c r="I91" s="393">
        <f>IF(I88&lt;0.001,0,IF(I86&lt;$C$11,0,IF(OR($C$10=dropdowns!$B$93,$C$10=dropdowns!$C$93,$C$10=dropdowns!$D$93,$C$10=dropdowns!$E$93),$C$9,IF(OR($C$10=dropdowns!$B$92,$C$10=dropdowns!$C$92,$C$10=dropdowns!$D$92,$C$10=dropdowns!$E$92),IFERROR((I90/(1-(1+$C$7/12)^-($C$4-H86)))-I90,0),0))))</f>
        <v>0</v>
      </c>
      <c r="J91" s="393">
        <f>IF(J88&lt;0.001,0,IF(J86&lt;$C$11,0,IF(OR($C$10=dropdowns!$B$93,$C$10=dropdowns!$C$93,$C$10=dropdowns!$D$93,$C$10=dropdowns!$E$93),$C$9,IF(OR($C$10=dropdowns!$B$92,$C$10=dropdowns!$C$92,$C$10=dropdowns!$D$92,$C$10=dropdowns!$E$92),IFERROR((J90/(1-(1+$C$7/12)^-($C$4-I86)))-J90,0),0))))</f>
        <v>0</v>
      </c>
      <c r="K91" s="393">
        <f>IF(K88&lt;0.001,0,IF(K86&lt;$C$11,0,IF(OR($C$10=dropdowns!$B$93,$C$10=dropdowns!$C$93,$C$10=dropdowns!$D$93,$C$10=dropdowns!$E$93),$C$9,IF(OR($C$10=dropdowns!$B$92,$C$10=dropdowns!$C$92,$C$10=dropdowns!$D$92,$C$10=dropdowns!$E$92),IFERROR((K90/(1-(1+$C$7/12)^-($C$4-J86)))-K90,0),0))))</f>
        <v>0</v>
      </c>
      <c r="L91" s="393">
        <f>IF(L88&lt;0.001,0,IF(L86&lt;$C$11,0,IF(OR($C$10=dropdowns!$B$93,$C$10=dropdowns!$C$93,$C$10=dropdowns!$D$93,$C$10=dropdowns!$E$93),$C$9,IF(OR($C$10=dropdowns!$B$92,$C$10=dropdowns!$C$92,$C$10=dropdowns!$D$92,$C$10=dropdowns!$E$92),IFERROR((L90/(1-(1+$C$7/12)^-($C$4-K86)))-L90,0),0))))</f>
        <v>0</v>
      </c>
      <c r="M91" s="393">
        <f>IF(M88&lt;0.001,0,IF(M86&lt;$C$11,0,IF(OR($C$10=dropdowns!$B$93,$C$10=dropdowns!$C$93,$C$10=dropdowns!$D$93,$C$10=dropdowns!$E$93),$C$9,IF(OR($C$10=dropdowns!$B$92,$C$10=dropdowns!$C$92,$C$10=dropdowns!$D$92,$C$10=dropdowns!$E$92),IFERROR((M90/(1-(1+$C$7/12)^-($C$4-L86)))-M90,0),0))))</f>
        <v>0</v>
      </c>
      <c r="N91" s="393">
        <f>IF(N88&lt;0.001,0,IF(N86&lt;$C$11,0,IF(OR($C$10=dropdowns!$B$93,$C$10=dropdowns!$C$93,$C$10=dropdowns!$D$93,$C$10=dropdowns!$E$93),$C$9,IF(OR($C$10=dropdowns!$B$92,$C$10=dropdowns!$C$92,$C$10=dropdowns!$D$92,$C$10=dropdowns!$E$92),IFERROR((N90/(1-(1+$C$7/12)^-($C$4-M86)))-N90,0),0))))</f>
        <v>0</v>
      </c>
      <c r="O91" s="394">
        <f>SUM(C91:N91)</f>
        <v>0</v>
      </c>
      <c r="P91" s="269"/>
    </row>
    <row r="92" spans="2:18" x14ac:dyDescent="0.25">
      <c r="B92" s="398" t="str">
        <f>Vertaling!$A$300</f>
        <v>Te betalen per maand</v>
      </c>
      <c r="C92" s="399">
        <f t="shared" ref="C92:N92" si="39">SUM(C90:C91)</f>
        <v>0</v>
      </c>
      <c r="D92" s="399">
        <f t="shared" si="39"/>
        <v>0</v>
      </c>
      <c r="E92" s="399">
        <f t="shared" si="39"/>
        <v>0</v>
      </c>
      <c r="F92" s="399">
        <f t="shared" si="39"/>
        <v>0</v>
      </c>
      <c r="G92" s="399">
        <f t="shared" si="39"/>
        <v>0</v>
      </c>
      <c r="H92" s="399">
        <f t="shared" si="39"/>
        <v>0</v>
      </c>
      <c r="I92" s="399">
        <f t="shared" si="39"/>
        <v>0</v>
      </c>
      <c r="J92" s="399">
        <f t="shared" si="39"/>
        <v>0</v>
      </c>
      <c r="K92" s="399">
        <f t="shared" si="39"/>
        <v>0</v>
      </c>
      <c r="L92" s="399">
        <f t="shared" si="39"/>
        <v>0</v>
      </c>
      <c r="M92" s="399">
        <f t="shared" si="39"/>
        <v>0</v>
      </c>
      <c r="N92" s="399">
        <f t="shared" si="39"/>
        <v>0</v>
      </c>
      <c r="O92" s="400">
        <f>SUM(C92:N92)</f>
        <v>0</v>
      </c>
      <c r="P92" s="269"/>
    </row>
    <row r="93" spans="2:18" x14ac:dyDescent="0.25">
      <c r="B93" s="372"/>
      <c r="C93" s="372"/>
      <c r="D93" s="372"/>
      <c r="E93" s="372"/>
      <c r="F93" s="372"/>
      <c r="G93" s="372"/>
      <c r="H93" s="372"/>
      <c r="I93" s="372"/>
      <c r="J93" s="372"/>
      <c r="K93" s="372"/>
      <c r="L93" s="372"/>
      <c r="M93" s="372"/>
      <c r="N93" s="372"/>
      <c r="O93" s="372"/>
      <c r="P93" s="269"/>
      <c r="Q93" s="372"/>
      <c r="R93" s="372"/>
    </row>
    <row r="94" spans="2:18" x14ac:dyDescent="0.25">
      <c r="P94" s="269"/>
    </row>
  </sheetData>
  <sheetProtection algorithmName="SHA-512" hashValue="lnxcVvLpdzTndr+znYaMo4JvX8mW5uLdAer6IjWTzH33kY2JpJYG879iLnLUv1bdfpR858SKgI2umxuU1Sa+bA==" saltValue="pi3aHxS9J0eAiNLNX+hAAg==" spinCount="100000" sheet="1" formatColumns="0"/>
  <pageMargins left="0.70833333333333337" right="0.70833333333333337" top="0.74791666666666667" bottom="0.74791666666666667" header="0.51180555555555551" footer="0.51180555555555551"/>
  <pageSetup paperSize="9" scale="66" firstPageNumber="0" fitToHeight="0" orientation="landscape" horizontalDpi="300" verticalDpi="300" r:id="rId1"/>
  <headerFooter alignWithMargins="0"/>
  <rowBreaks count="1" manualBreakCount="1">
    <brk id="44"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rgb="FF666666"/>
  </sheetPr>
  <dimension ref="A1:AI87"/>
  <sheetViews>
    <sheetView zoomScale="80" zoomScaleNormal="80" workbookViewId="0"/>
  </sheetViews>
  <sheetFormatPr defaultRowHeight="15" x14ac:dyDescent="0.25"/>
  <cols>
    <col min="1" max="1" width="114.5703125" style="65" customWidth="1"/>
    <col min="2" max="35" width="9.140625" style="65"/>
    <col min="36" max="16384" width="9.140625" style="66"/>
  </cols>
  <sheetData>
    <row r="1" spans="1:26" x14ac:dyDescent="0.25">
      <c r="A1" s="214" t="str">
        <f>Vertaling!A201</f>
        <v>Klik hier om VRAGENLIJST in te vullen</v>
      </c>
      <c r="B1" s="67"/>
      <c r="C1" s="67"/>
      <c r="D1" s="67"/>
      <c r="E1" s="67"/>
      <c r="F1" s="67"/>
      <c r="G1" s="67"/>
      <c r="H1" s="67"/>
      <c r="I1" s="67"/>
      <c r="J1" s="67"/>
      <c r="K1" s="67"/>
      <c r="L1" s="67"/>
      <c r="M1" s="67"/>
      <c r="N1" s="67"/>
      <c r="O1" s="67"/>
      <c r="P1" s="67"/>
      <c r="Q1" s="67"/>
      <c r="R1" s="67"/>
      <c r="S1" s="67"/>
      <c r="T1" s="67"/>
      <c r="U1" s="67"/>
      <c r="V1" s="67"/>
      <c r="W1" s="67"/>
      <c r="X1" s="67"/>
      <c r="Y1" s="67"/>
      <c r="Z1" s="67"/>
    </row>
    <row r="2" spans="1:26" x14ac:dyDescent="0.25">
      <c r="A2" s="214"/>
      <c r="B2" s="67"/>
      <c r="C2" s="67"/>
      <c r="D2" s="67"/>
      <c r="E2" s="67"/>
      <c r="F2" s="67"/>
      <c r="G2" s="67"/>
      <c r="H2" s="67"/>
      <c r="I2" s="67"/>
      <c r="J2" s="67"/>
      <c r="K2" s="67"/>
      <c r="L2" s="67"/>
      <c r="M2" s="67"/>
      <c r="N2" s="67"/>
      <c r="O2" s="67"/>
      <c r="P2" s="67"/>
      <c r="Q2" s="67"/>
      <c r="R2" s="67"/>
      <c r="S2" s="67"/>
      <c r="T2" s="67"/>
      <c r="U2" s="67"/>
      <c r="V2" s="67"/>
      <c r="W2" s="67"/>
      <c r="X2" s="67"/>
      <c r="Y2" s="67"/>
      <c r="Z2" s="67"/>
    </row>
    <row r="3" spans="1:26" x14ac:dyDescent="0.25">
      <c r="A3" s="402" t="str">
        <f>Vertaling!A146</f>
        <v>Zelfstandigenaftrek</v>
      </c>
      <c r="B3" s="67"/>
      <c r="C3" s="67"/>
      <c r="D3" s="67"/>
      <c r="E3" s="67"/>
      <c r="F3" s="67"/>
      <c r="G3" s="67"/>
      <c r="H3" s="67"/>
      <c r="I3" s="67"/>
      <c r="J3" s="67"/>
      <c r="K3" s="67"/>
      <c r="L3" s="67"/>
      <c r="M3" s="67"/>
      <c r="N3" s="67"/>
      <c r="O3" s="67"/>
      <c r="P3" s="67"/>
      <c r="Q3" s="67"/>
      <c r="R3" s="67"/>
      <c r="S3" s="67"/>
      <c r="T3" s="67"/>
      <c r="U3" s="67"/>
      <c r="V3" s="67"/>
      <c r="W3" s="67"/>
      <c r="X3" s="67"/>
      <c r="Y3" s="67"/>
      <c r="Z3" s="67"/>
    </row>
    <row r="4" spans="1:26" ht="95.25" customHeight="1" x14ac:dyDescent="0.25">
      <c r="A4" s="403" t="str">
        <f>Vertaling!A312</f>
        <v>Als zelfstandig ondernemer kan je in aanmerking komen voor de zelfstandigenaftrek. Je mag dan een vast bedrag van je winst aftrekken. Daardoor betaal je minder belasting. 
Je hebt recht op de zelfstandigenaftrek als je:
      - Ondernemer bent
      - Voldoet aan het urencriterium
      - Aan het begin van het kalenderjaar de AOW-leeftijd nog niet hebt bereikt</v>
      </c>
      <c r="B4" s="67"/>
      <c r="C4" s="67"/>
      <c r="D4" s="67"/>
      <c r="E4" s="67"/>
      <c r="F4" s="67"/>
      <c r="G4" s="67"/>
      <c r="H4" s="67"/>
      <c r="I4" s="67"/>
      <c r="J4" s="67"/>
      <c r="K4" s="67"/>
      <c r="L4" s="67"/>
      <c r="M4" s="67"/>
      <c r="N4" s="67"/>
      <c r="O4" s="67"/>
      <c r="P4" s="67"/>
      <c r="Q4" s="67"/>
      <c r="R4" s="67"/>
      <c r="S4" s="67"/>
      <c r="T4" s="67"/>
      <c r="U4" s="67"/>
      <c r="V4" s="67"/>
      <c r="W4" s="67"/>
      <c r="X4" s="67"/>
      <c r="Y4" s="67"/>
      <c r="Z4" s="67"/>
    </row>
    <row r="5" spans="1:26" x14ac:dyDescent="0.25">
      <c r="A5" s="404"/>
      <c r="B5" s="67"/>
      <c r="C5" s="67"/>
      <c r="D5" s="67"/>
      <c r="E5" s="67"/>
      <c r="F5" s="67"/>
      <c r="G5" s="67"/>
      <c r="H5" s="67"/>
      <c r="I5" s="67"/>
      <c r="J5" s="67"/>
      <c r="K5" s="67"/>
      <c r="L5" s="67"/>
      <c r="M5" s="67"/>
      <c r="N5" s="67"/>
      <c r="O5" s="67"/>
      <c r="P5" s="67"/>
      <c r="Q5" s="67"/>
      <c r="R5" s="67"/>
      <c r="S5" s="67"/>
      <c r="T5" s="67"/>
      <c r="U5" s="67"/>
      <c r="V5" s="67"/>
      <c r="W5" s="67"/>
      <c r="X5" s="67"/>
      <c r="Y5" s="67"/>
      <c r="Z5" s="67"/>
    </row>
    <row r="6" spans="1:26" x14ac:dyDescent="0.25">
      <c r="A6" s="405" t="str">
        <f>Vertaling!A147</f>
        <v>Startersaftrek</v>
      </c>
      <c r="B6" s="67"/>
      <c r="C6" s="67"/>
      <c r="D6" s="67"/>
      <c r="E6" s="67"/>
      <c r="F6" s="67"/>
      <c r="G6" s="67"/>
      <c r="H6" s="67"/>
      <c r="I6" s="67"/>
      <c r="J6" s="67"/>
      <c r="K6" s="67"/>
      <c r="L6" s="67"/>
      <c r="M6" s="67"/>
      <c r="N6" s="67"/>
      <c r="O6" s="67"/>
      <c r="P6" s="67"/>
      <c r="Q6" s="67"/>
      <c r="R6" s="67"/>
      <c r="S6" s="67"/>
      <c r="T6" s="67"/>
      <c r="U6" s="67"/>
      <c r="V6" s="67"/>
      <c r="W6" s="67"/>
      <c r="X6" s="67"/>
      <c r="Y6" s="67"/>
      <c r="Z6" s="67"/>
    </row>
    <row r="7" spans="1:26" ht="93.75" customHeight="1" x14ac:dyDescent="0.25">
      <c r="A7" s="406" t="str">
        <f>Vertaling!A313</f>
        <v>Als startende ondernemer kan je in aanmerking komen voor de startersaftrek. Je mag dan, net als bij de zelfstandigenaftrek, een vast bedrag van je winst aftrekken. 
Je hebt recht op de startersaftrek als je:
      - Recht hebt op de zelfstandigenaftrek
      - In de afgelopen 5 jaar niet elk jaar ondernemer was
      - In de afgelopen 5 jaar de zelfstandigenaftrek maximaal twee keer hebt gebruikt</v>
      </c>
      <c r="B7" s="67"/>
      <c r="C7" s="67"/>
      <c r="D7" s="67"/>
      <c r="E7" s="67"/>
      <c r="F7" s="67"/>
      <c r="G7" s="67"/>
      <c r="H7" s="67"/>
      <c r="I7" s="67"/>
      <c r="J7" s="67"/>
      <c r="K7" s="67"/>
      <c r="L7" s="67"/>
      <c r="M7" s="67"/>
      <c r="N7" s="67"/>
      <c r="O7" s="67"/>
      <c r="P7" s="67"/>
      <c r="Q7" s="67"/>
      <c r="R7" s="67"/>
      <c r="S7" s="67"/>
      <c r="T7" s="67"/>
      <c r="U7" s="67"/>
      <c r="V7" s="67"/>
      <c r="W7" s="67"/>
      <c r="X7" s="67"/>
      <c r="Y7" s="67"/>
      <c r="Z7" s="67"/>
    </row>
    <row r="8" spans="1:26" x14ac:dyDescent="0.25">
      <c r="A8" s="404"/>
      <c r="B8" s="67"/>
      <c r="C8" s="67"/>
      <c r="D8" s="67"/>
      <c r="E8" s="67"/>
      <c r="F8" s="67"/>
      <c r="G8" s="67"/>
      <c r="H8" s="67"/>
      <c r="I8" s="67"/>
      <c r="J8" s="67"/>
      <c r="K8" s="67"/>
      <c r="L8" s="67"/>
      <c r="M8" s="67"/>
      <c r="N8" s="67"/>
      <c r="O8" s="67"/>
      <c r="P8" s="67"/>
      <c r="Q8" s="67"/>
      <c r="R8" s="67"/>
      <c r="S8" s="67"/>
      <c r="T8" s="67"/>
      <c r="U8" s="67"/>
      <c r="V8" s="67"/>
      <c r="W8" s="67"/>
      <c r="X8" s="67"/>
      <c r="Y8" s="67"/>
      <c r="Z8" s="67"/>
    </row>
    <row r="9" spans="1:26" x14ac:dyDescent="0.25">
      <c r="A9" s="405" t="str">
        <f>Vertaling!A148</f>
        <v>Meewerkaftrek</v>
      </c>
      <c r="B9" s="67"/>
      <c r="C9" s="67"/>
      <c r="D9" s="67"/>
      <c r="E9" s="67"/>
      <c r="F9" s="67"/>
      <c r="G9" s="67"/>
      <c r="H9" s="67"/>
      <c r="I9" s="67"/>
      <c r="J9" s="67"/>
      <c r="K9" s="67"/>
      <c r="L9" s="67"/>
      <c r="M9" s="67"/>
      <c r="N9" s="67"/>
      <c r="O9" s="67"/>
      <c r="P9" s="67"/>
      <c r="Q9" s="67"/>
      <c r="R9" s="67"/>
      <c r="S9" s="67"/>
      <c r="T9" s="67"/>
      <c r="U9" s="67"/>
      <c r="V9" s="67"/>
      <c r="W9" s="67"/>
      <c r="X9" s="67"/>
      <c r="Y9" s="67"/>
      <c r="Z9" s="67"/>
    </row>
    <row r="10" spans="1:26" ht="120" customHeight="1" x14ac:dyDescent="0.25">
      <c r="A10" s="406" t="str">
        <f>Vertaling!A314</f>
        <v>Werkt jouw partner (grotendeels) onbetaald mee in de onderneming, dan kan je profiteren van de meewerkaftrek. De meewerkaftrek is afhankelijk van de behaalde winst en het aantal meegewerkte uren. Houd dus een urenadministratie bij!
Je hebt recht op de meewerkaftrek als je:
      - Ondernemer bent
      - Voldoet aan het urencriterium
      - Een fiscale partner hebt die 525 uren of meer zonder vergoeding in uw onderneming werkt, of tegen een 
        vergoeding van minder dan € 5.000
      - Het aantal meegewerkte uren aannemelijk kan maken</v>
      </c>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x14ac:dyDescent="0.25">
      <c r="A11" s="407"/>
      <c r="B11" s="67"/>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6" x14ac:dyDescent="0.25">
      <c r="A12" s="405" t="str">
        <f>Vertaling!A310</f>
        <v>Ondernemer</v>
      </c>
      <c r="B12" s="67"/>
      <c r="C12" s="67"/>
      <c r="D12" s="67"/>
      <c r="E12" s="67"/>
      <c r="F12" s="67"/>
      <c r="G12" s="67"/>
      <c r="H12" s="67"/>
      <c r="I12" s="67"/>
      <c r="J12" s="67"/>
      <c r="K12" s="67"/>
      <c r="L12" s="67"/>
      <c r="M12" s="67"/>
      <c r="N12" s="67"/>
      <c r="O12" s="67"/>
      <c r="P12" s="67"/>
      <c r="Q12" s="67"/>
      <c r="R12" s="67"/>
      <c r="S12" s="67"/>
      <c r="T12" s="67"/>
      <c r="U12" s="67"/>
      <c r="V12" s="67"/>
      <c r="W12" s="67"/>
      <c r="X12" s="67"/>
      <c r="Y12" s="67"/>
      <c r="Z12" s="67"/>
    </row>
    <row r="13" spans="1:26" ht="330" customHeight="1" x14ac:dyDescent="0.25">
      <c r="A13" s="403" t="str">
        <f>Vertaling!A315</f>
        <v>Niet iedere ondernemer, is ondernemer voor de belasting. Om in aamerking te komen voor de status van ondernemer voor de belasting moet je voldoen aan een aantal voorwaarden.
De Belastindienst hanteert daarbij de volgende uitgangspunten:
      - Winst: Als je alleen een hele kleine winst hebt of structureel verlies lijdt, is het niet aannemelijk dat je winst
         gaat maken. Er is dan geen sprake van een onderneming.
      - Zelfstandigheid: Als anderen bepalen hoe je jouw onderneming moet inrichten en hoe je jouw werkzaamheden
         uitvoert, ontbreekt de zelfstandigheid en is er meestal geen sprake van een onderneming.
      - Kapitaal: Kapitaal is voor veel ondernemingen noodzakelijk. Je moet investeren in bijvoorbeeld machines, 
         reclame, inhuur van mensen en verzekeringen. Voldoende kapitaal om een onderneming te starten en enige 
         tijd draaiende te houden, wijst erop dat je mogelijk een onderneming hebt.
      - Tijd: Als je erg veel tijd aan een activiteit besteedt zonder dat dat rendement oplevert, is er meestal geen sprake 
         van een onderneming. Maar je moet wel voldoende tijd aan jouw werkzaamheden besteden om deze rendabel te 
         maken.
      - Opdrachtgevers: Het is jouw doel om meerdere opdrachtgevers te hebben, onder andere om betalings- en 
         continuïteitsrisico's te verkleinen. Als je meerdere opdrachtgevers hebt, ben je minder afhankelijk van een of 
         enkele opdrachtgevers en neemt jouw zelfstandigheid toe.
      - Uitstraling: Je bent voor jouw bestaan afhankelijk van opdrachtgevers. Om ondernemer te zijn, moet je zorgen dat 
        jouw onderneming voldoende bekend is, bijvoorbeeld via reclame, een internetsite, social media, een 
        uithangbord of eigen briefpapier.
      - Ondernemersrisico: Bestaat er een kans dat jouw opdrachtgevers niet betalen? Gebruik je jouw goede naam voor 
        de uitoefening van jouw werkzaamheden? Ben je afhankelijk van de vraag naar en het aanbod van jouw producten 
        en diensten? Loop je 'ondernemersrisico', dan heb je waarschijnlijk een onderneming.
      - Aansprakelijkheid: Als je aansprakelijk bent voor de schulden van jouw onderneming, dan ben je mogelijk 
        ondernemer.</v>
      </c>
      <c r="B13" s="67"/>
      <c r="C13" s="67"/>
      <c r="D13" s="67"/>
      <c r="E13" s="67"/>
      <c r="F13" s="67"/>
      <c r="G13" s="67"/>
      <c r="H13" s="67"/>
      <c r="I13" s="67"/>
      <c r="J13" s="67"/>
      <c r="K13" s="67"/>
      <c r="L13" s="67"/>
      <c r="M13" s="67"/>
      <c r="N13" s="67"/>
      <c r="O13" s="67"/>
      <c r="P13" s="67"/>
      <c r="Q13" s="67"/>
      <c r="R13" s="67"/>
      <c r="S13" s="67"/>
      <c r="T13" s="67"/>
      <c r="U13" s="67"/>
      <c r="V13" s="67"/>
      <c r="W13" s="67"/>
      <c r="X13" s="67"/>
      <c r="Y13" s="67"/>
      <c r="Z13" s="67"/>
    </row>
    <row r="14" spans="1:26" x14ac:dyDescent="0.25">
      <c r="A14" s="405"/>
      <c r="B14" s="67"/>
      <c r="C14" s="67"/>
      <c r="D14" s="67"/>
      <c r="E14" s="67"/>
      <c r="F14" s="67"/>
      <c r="G14" s="67"/>
      <c r="H14" s="67"/>
      <c r="I14" s="67"/>
      <c r="J14" s="67"/>
      <c r="K14" s="67"/>
      <c r="L14" s="67"/>
      <c r="M14" s="67"/>
      <c r="N14" s="67"/>
      <c r="O14" s="67"/>
      <c r="P14" s="67"/>
      <c r="Q14" s="67"/>
      <c r="R14" s="67"/>
      <c r="S14" s="67"/>
      <c r="T14" s="67"/>
      <c r="U14" s="67"/>
      <c r="V14" s="67"/>
      <c r="W14" s="67"/>
      <c r="X14" s="67"/>
      <c r="Y14" s="67"/>
      <c r="Z14" s="67"/>
    </row>
    <row r="15" spans="1:26" x14ac:dyDescent="0.25">
      <c r="A15" s="405" t="str">
        <f>Vertaling!A311</f>
        <v>Urencriterium</v>
      </c>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spans="1:26" ht="114.75" x14ac:dyDescent="0.25">
      <c r="A16" s="408" t="str">
        <f>Vertaling!A316</f>
        <v>Je voldoet aan het urencriterium als je:
      - In het kalenderjaar minimaal 1.225 uren aan jouw onderneming(en) hebt besteed. Onderbrak je jouw werk als 
        ondernemer door jouw zwangerschap? Dan tellen de niet-gewerkte uren over totaal 16 weken toch mee als 
        gewerkte uren.
      - Meer tijd moet besteden aan jouw ondernemingen dan aan andere werkzaamheden (bijvoorbeeld in loondienst).
Als je niet het hele jaar ondernemer bent, doordat je bijvoorbeeld in de loop van het jaar bent gestart, moet je toch minimaal 1.225 uren aan jouw onderneming(en) besteden. De 1.225 uren mogen dan niet omgerekend worden naar de periode dat je ondernemer bent.</v>
      </c>
      <c r="B16" s="67"/>
      <c r="C16" s="67"/>
      <c r="D16" s="67"/>
      <c r="E16" s="67"/>
      <c r="F16" s="67"/>
      <c r="G16" s="67"/>
      <c r="H16" s="67"/>
      <c r="I16" s="67"/>
      <c r="J16" s="67"/>
      <c r="K16" s="67"/>
      <c r="L16" s="67"/>
      <c r="M16" s="67"/>
      <c r="N16" s="67"/>
      <c r="O16" s="67"/>
      <c r="P16" s="67"/>
      <c r="Q16" s="67"/>
      <c r="R16" s="67"/>
      <c r="S16" s="67"/>
      <c r="T16" s="67"/>
      <c r="U16" s="67"/>
      <c r="V16" s="67"/>
      <c r="W16" s="67"/>
      <c r="X16" s="67"/>
      <c r="Y16" s="67"/>
      <c r="Z16" s="67"/>
    </row>
    <row r="17" spans="1:26" x14ac:dyDescent="0.25">
      <c r="A17" s="417" t="str">
        <f>Vertaling!A317</f>
        <v>Bron: Belastingdienst</v>
      </c>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spans="1:26" x14ac:dyDescent="0.25">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row r="19" spans="1:26" x14ac:dyDescent="0.25">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x14ac:dyDescent="0.2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x14ac:dyDescent="0.25">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x14ac:dyDescent="0.2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x14ac:dyDescent="0.25">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x14ac:dyDescent="0.25">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x14ac:dyDescent="0.25">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x14ac:dyDescent="0.25">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26" x14ac:dyDescent="0.2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x14ac:dyDescent="0.25">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x14ac:dyDescent="0.25">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x14ac:dyDescent="0.25">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row>
    <row r="33" spans="1:26" x14ac:dyDescent="0.2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x14ac:dyDescent="0.2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6" x14ac:dyDescent="0.2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6" x14ac:dyDescent="0.2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x14ac:dyDescent="0.25">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x14ac:dyDescent="0.2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x14ac:dyDescent="0.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1:26"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x14ac:dyDescent="0.25">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x14ac:dyDescent="0.25">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x14ac:dyDescent="0.2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x14ac:dyDescent="0.25">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x14ac:dyDescent="0.2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x14ac:dyDescent="0.25">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x14ac:dyDescent="0.25">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x14ac:dyDescent="0.25">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x14ac:dyDescent="0.2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x14ac:dyDescent="0.25">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x14ac:dyDescent="0.2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x14ac:dyDescent="0.2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x14ac:dyDescent="0.2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x14ac:dyDescent="0.25">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x14ac:dyDescent="0.2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x14ac:dyDescent="0.2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x14ac:dyDescent="0.2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x14ac:dyDescent="0.2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x14ac:dyDescent="0.25">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x14ac:dyDescent="0.2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x14ac:dyDescent="0.25">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x14ac:dyDescent="0.2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x14ac:dyDescent="0.2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x14ac:dyDescent="0.2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x14ac:dyDescent="0.2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x14ac:dyDescent="0.25">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x14ac:dyDescent="0.2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x14ac:dyDescent="0.25">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x14ac:dyDescent="0.25">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x14ac:dyDescent="0.2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x14ac:dyDescent="0.2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x14ac:dyDescent="0.2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x14ac:dyDescent="0.2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x14ac:dyDescent="0.2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x14ac:dyDescent="0.2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x14ac:dyDescent="0.2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x14ac:dyDescent="0.2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x14ac:dyDescent="0.2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x14ac:dyDescent="0.2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x14ac:dyDescent="0.25">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x14ac:dyDescent="0.2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x14ac:dyDescent="0.2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x14ac:dyDescent="0.2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x14ac:dyDescent="0.2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x14ac:dyDescent="0.2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sheetData>
  <sheetProtection algorithmName="SHA-512" hashValue="6Ad+7wZ0kbMUmh9avSSiR4K+LHvCx2nFD+gBMxKPXQf6qXjnWukidhSLQVdTB0TWz8wculVrIE72WTdLyKmZ4A==" saltValue="AEVZ+BamSoxsgkb5vjwdUQ==" spinCount="100000" sheet="1" objects="1" scenarios="1"/>
  <hyperlinks>
    <hyperlink ref="A1" location="VRAGENLIJST!A211" display="Klik hier om VRAGENLIJST in te vullen" xr:uid="{00000000-0004-0000-0700-000000000000}"/>
  </hyperlinks>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23"/>
  <sheetViews>
    <sheetView workbookViewId="0">
      <pane xSplit="1" ySplit="1" topLeftCell="B14" activePane="bottomRight" state="frozen"/>
      <selection pane="topRight" activeCell="B1" sqref="B1"/>
      <selection pane="bottomLeft" activeCell="A2" sqref="A2"/>
      <selection pane="bottomRight" activeCell="C48" sqref="C48"/>
    </sheetView>
  </sheetViews>
  <sheetFormatPr defaultRowHeight="12.75" x14ac:dyDescent="0.2"/>
  <cols>
    <col min="1" max="2" width="75.7109375" style="137" customWidth="1"/>
    <col min="3" max="3" width="114.7109375" style="137" customWidth="1"/>
    <col min="4" max="5" width="75.7109375" style="137" customWidth="1"/>
    <col min="6" max="16384" width="9.140625" style="137"/>
  </cols>
  <sheetData>
    <row r="1" spans="1:5" ht="39" x14ac:dyDescent="0.2">
      <c r="A1" s="2" t="s">
        <v>1008</v>
      </c>
      <c r="B1" s="57" t="s">
        <v>1</v>
      </c>
      <c r="C1" s="57" t="s">
        <v>58</v>
      </c>
      <c r="D1" s="57" t="s">
        <v>59</v>
      </c>
      <c r="E1" s="57" t="s">
        <v>60</v>
      </c>
    </row>
    <row r="3" spans="1:5" ht="15" x14ac:dyDescent="0.25">
      <c r="A3" s="150" t="str">
        <f>HLOOKUP(Intro!$B$7,$B:$I,ROW(A3),FALSE)</f>
        <v>Intro</v>
      </c>
      <c r="B3" s="150" t="s">
        <v>61</v>
      </c>
      <c r="C3" s="150" t="s">
        <v>61</v>
      </c>
      <c r="D3" s="150" t="s">
        <v>62</v>
      </c>
      <c r="E3" s="150" t="s">
        <v>63</v>
      </c>
    </row>
    <row r="4" spans="1:5" x14ac:dyDescent="0.2">
      <c r="A4" s="137" t="str">
        <f>HLOOKUP(Intro!$B$7,$B:$I,ROW(A4),FALSE)</f>
        <v>Financieel plan</v>
      </c>
      <c r="B4" s="137" t="s">
        <v>2</v>
      </c>
      <c r="C4" s="137" t="s">
        <v>64</v>
      </c>
      <c r="D4" s="137" t="s">
        <v>65</v>
      </c>
      <c r="E4" s="137" t="s">
        <v>65</v>
      </c>
    </row>
    <row r="5" spans="1:5" ht="38.25" x14ac:dyDescent="0.2">
      <c r="A5" s="137" t="str">
        <f>HLOOKUP(Intro!$B$7,$B:$I,ROW(A5),FALSE)</f>
        <v>Let op! Voordat je verder gaat moet het bestand worden opgeslagen op jouw computer. Dit doe je via Bestand -&gt; Opslaan als, of met F12.</v>
      </c>
      <c r="B5" s="137" t="s">
        <v>1167</v>
      </c>
      <c r="C5" s="137" t="s">
        <v>66</v>
      </c>
      <c r="D5" s="137" t="s">
        <v>67</v>
      </c>
      <c r="E5" s="137" t="s">
        <v>68</v>
      </c>
    </row>
    <row r="6" spans="1:5" x14ac:dyDescent="0.2">
      <c r="A6" s="137" t="str">
        <f>HLOOKUP(Intro!$B$7,$B:$I,ROW(A6),FALSE)</f>
        <v>Introductie</v>
      </c>
      <c r="B6" s="137" t="s">
        <v>4</v>
      </c>
      <c r="C6" s="137" t="s">
        <v>69</v>
      </c>
      <c r="D6" s="137" t="s">
        <v>62</v>
      </c>
      <c r="E6" s="137" t="s">
        <v>63</v>
      </c>
    </row>
    <row r="7" spans="1:5" ht="51" x14ac:dyDescent="0.2">
      <c r="A7" s="137" t="str">
        <f>HLOOKUP(Intro!$B$7,$B:$I,ROW(A7),FALSE)</f>
        <v>Het maken van een financieel plan is een belangrijk onderdeel van je ondernemingsplan, zeker als je een financiering wilt aanvragen. Een compleet financieel plan bestaat  minimaal uit onderstaande begrotingen. Klik op de onderstaande begrotingen om ze te bekijken.</v>
      </c>
      <c r="B7" s="137" t="s">
        <v>5</v>
      </c>
      <c r="C7" s="137" t="s">
        <v>70</v>
      </c>
      <c r="D7" s="137" t="s">
        <v>71</v>
      </c>
      <c r="E7" s="137" t="s">
        <v>72</v>
      </c>
    </row>
    <row r="8" spans="1:5" x14ac:dyDescent="0.2">
      <c r="A8" s="137" t="str">
        <f>HLOOKUP(Intro!$B$7,$B:$I,ROW(A8),FALSE)</f>
        <v xml:space="preserve">    Investeringsbegroting</v>
      </c>
      <c r="B8" s="137" t="s">
        <v>6</v>
      </c>
      <c r="C8" s="137" t="s">
        <v>1198</v>
      </c>
      <c r="D8" s="137" t="s">
        <v>73</v>
      </c>
      <c r="E8" s="137" t="s">
        <v>74</v>
      </c>
    </row>
    <row r="9" spans="1:5" x14ac:dyDescent="0.2">
      <c r="A9" s="137" t="str">
        <f>HLOOKUP(Intro!$B$7,$B:$I,ROW(A9),FALSE)</f>
        <v xml:space="preserve">    Financieringsbegroting</v>
      </c>
      <c r="B9" s="137" t="s">
        <v>7</v>
      </c>
      <c r="C9" s="137" t="s">
        <v>1199</v>
      </c>
      <c r="D9" s="137" t="s">
        <v>75</v>
      </c>
      <c r="E9" s="137" t="s">
        <v>76</v>
      </c>
    </row>
    <row r="10" spans="1:5" x14ac:dyDescent="0.2">
      <c r="A10" s="137" t="str">
        <f>HLOOKUP(Intro!$B$7,$B:$I,ROW(A10),FALSE)</f>
        <v xml:space="preserve">    Exploitatiebegroting</v>
      </c>
      <c r="B10" s="137" t="s">
        <v>8</v>
      </c>
      <c r="C10" s="137" t="s">
        <v>1200</v>
      </c>
      <c r="D10" s="137" t="s">
        <v>77</v>
      </c>
      <c r="E10" s="137" t="s">
        <v>78</v>
      </c>
    </row>
    <row r="11" spans="1:5" x14ac:dyDescent="0.2">
      <c r="A11" s="137" t="str">
        <f>HLOOKUP(Intro!$B$7,$B:$I,ROW(A11),FALSE)</f>
        <v xml:space="preserve">    Liquiditeitsbegroting</v>
      </c>
      <c r="B11" s="137" t="s">
        <v>9</v>
      </c>
      <c r="C11" s="137" t="s">
        <v>1201</v>
      </c>
      <c r="D11" s="137" t="s">
        <v>79</v>
      </c>
      <c r="E11" s="137" t="s">
        <v>80</v>
      </c>
    </row>
    <row r="12" spans="1:5" x14ac:dyDescent="0.2">
      <c r="A12" s="137" t="str">
        <f>HLOOKUP(Intro!$B$7,$B:$I,ROW(A12),FALSE)</f>
        <v>Hoe in te vullen?</v>
      </c>
      <c r="B12" s="137" t="s">
        <v>10</v>
      </c>
      <c r="C12" s="137" t="s">
        <v>81</v>
      </c>
      <c r="D12" s="137" t="s">
        <v>82</v>
      </c>
      <c r="E12" s="137" t="s">
        <v>83</v>
      </c>
    </row>
    <row r="13" spans="1:5" ht="165.75" x14ac:dyDescent="0.2">
      <c r="A13" s="137" t="str">
        <f>HLOOKUP(Intro!$B$7,$B:$I,ROW(A13),FALSE)</f>
        <v>Dit format helpt je met het opstellen van de begrotingen. 
Het opstellen van dit financieel plan doe je door het beantwoorden van de vragen die worden gesteld op het tabblad VRAGENLIJST. Bij de meeste vragen moet je een bedrag invullen, bij andere vragen moet je een getal of onderdeel selecteren uit een lijst. Door het beantwoorden van de vragenlijst, worden de financiële overzichten automatisch ingevuld en doorgerekend. Deze overzichten zijn te vinden op de blauwgekleurden tabbladen. Deze tabbladen zijn niet in te vullen of te wijzigen. 
Als je een wijziging wilt aanbrengen doe je dat door de lichtblauwe cellen in de vragenlijst te wijzigen! De overige cellen zijn vergrendeld met een wachtwoord. Dit wachtwoord is niet nodig voor het invullen van het plan en wordt ook niet vrijgegeven. Qredits wil namelijk niet dat het sjabloon wordt aangepast.</v>
      </c>
      <c r="B13" s="137" t="s">
        <v>1168</v>
      </c>
      <c r="C13" s="137" t="s">
        <v>1111</v>
      </c>
      <c r="D13" s="137" t="s">
        <v>84</v>
      </c>
      <c r="E13" s="137" t="s">
        <v>85</v>
      </c>
    </row>
    <row r="14" spans="1:5" ht="25.5" x14ac:dyDescent="0.2">
      <c r="A14" s="137" t="str">
        <f>HLOOKUP(Intro!$B$7,$B:$I,ROW(A14),FALSE)</f>
        <v>Het opstellen van dit financieel plan doe je door het beantwoorden van de vragen die worden gesteld op het tabblad VRAGENLIJST.</v>
      </c>
      <c r="B14" s="137" t="s">
        <v>1169</v>
      </c>
      <c r="C14" s="137" t="s">
        <v>1202</v>
      </c>
      <c r="D14" s="137" t="s">
        <v>86</v>
      </c>
      <c r="E14" s="137" t="s">
        <v>87</v>
      </c>
    </row>
    <row r="15" spans="1:5" ht="25.5" x14ac:dyDescent="0.2">
      <c r="A15" s="137" t="str">
        <f>HLOOKUP(Intro!$B$7,$B:$I,ROW(A15),FALSE)</f>
        <v>Bij de meeste vragen moet je een bedrag invullen, bij andere vragen moet een getal of onderdeel selecteren uit een lijst.</v>
      </c>
      <c r="B15" s="137" t="s">
        <v>13</v>
      </c>
      <c r="C15" s="137" t="s">
        <v>88</v>
      </c>
      <c r="D15" s="137" t="s">
        <v>89</v>
      </c>
      <c r="E15" s="137" t="s">
        <v>90</v>
      </c>
    </row>
    <row r="16" spans="1:5" ht="25.5" x14ac:dyDescent="0.2">
      <c r="A16" s="137" t="str">
        <f>HLOOKUP(Intro!$B$7,$B:$I,ROW(A16),FALSE)</f>
        <v>Door het beantwoorden van de vragenlijst, worden de financiële overzichten automatisch ingevuld en doorgerekend.</v>
      </c>
      <c r="B16" s="137" t="s">
        <v>14</v>
      </c>
      <c r="C16" s="137" t="s">
        <v>91</v>
      </c>
      <c r="D16" s="137" t="s">
        <v>92</v>
      </c>
      <c r="E16" s="137" t="s">
        <v>93</v>
      </c>
    </row>
    <row r="17" spans="1:8" ht="38.25" x14ac:dyDescent="0.2">
      <c r="A17" s="137" t="str">
        <f>HLOOKUP(Intro!$B$7,$B:$I,ROW(A17),FALSE)</f>
        <v>Deze overzichten zijn te vinden op de blauwgekleurden tabbladen. Deze tabbladen zijn niet in te vullen of te wijzigen. Als je een wijziging wilt aanbrengen doe je dat door de lichtblauwe cellen in de vragenlijst te wijzigen!</v>
      </c>
      <c r="B17" s="137" t="s">
        <v>1170</v>
      </c>
      <c r="C17" s="137" t="s">
        <v>94</v>
      </c>
      <c r="D17" s="137" t="s">
        <v>95</v>
      </c>
      <c r="E17" s="137" t="s">
        <v>96</v>
      </c>
    </row>
    <row r="18" spans="1:8" x14ac:dyDescent="0.2">
      <c r="A18" s="137" t="str">
        <f>HLOOKUP(Intro!$B$7,$B:$I,ROW(A18),FALSE)</f>
        <v>Printen</v>
      </c>
      <c r="B18" s="137" t="s">
        <v>1137</v>
      </c>
      <c r="C18" s="137" t="s">
        <v>1203</v>
      </c>
      <c r="D18" s="137" t="s">
        <v>97</v>
      </c>
      <c r="E18" s="137" t="s">
        <v>98</v>
      </c>
    </row>
    <row r="19" spans="1:8" ht="25.5" x14ac:dyDescent="0.2">
      <c r="A19" s="137" t="str">
        <f>HLOOKUP(Intro!$B$7,$B:$I,ROW(A19),FALSE)</f>
        <v>Je kunt het gehele financieel plan in één keer uitprinten door in het scherm 'afdrukken' het vakje 'hele werkmap' te selecteren.</v>
      </c>
      <c r="B19" s="137" t="s">
        <v>1171</v>
      </c>
      <c r="C19" s="137" t="s">
        <v>1204</v>
      </c>
      <c r="D19" s="137" t="s">
        <v>99</v>
      </c>
      <c r="E19" s="137" t="s">
        <v>100</v>
      </c>
    </row>
    <row r="20" spans="1:8" x14ac:dyDescent="0.2">
      <c r="A20" s="137" t="str">
        <f>HLOOKUP(Intro!$B$7,$B:$I,ROW(A20),FALSE)</f>
        <v>Financieringsaanvraag</v>
      </c>
      <c r="B20" s="137" t="s">
        <v>21</v>
      </c>
      <c r="C20" s="137" t="s">
        <v>101</v>
      </c>
      <c r="D20" s="137" t="s">
        <v>102</v>
      </c>
      <c r="E20" s="137" t="s">
        <v>103</v>
      </c>
    </row>
    <row r="21" spans="1:8" ht="25.5" x14ac:dyDescent="0.2">
      <c r="A21" s="137" t="str">
        <f>HLOOKUP(Intro!$B$7,$B:$I,ROW(A21),FALSE)</f>
        <v>Als je dit plan opstelt ten behoeve van een financieringsaanvraag bij Qredits, dan kan je het financieel plan samen met je ondernemingsplan uploaden via:</v>
      </c>
      <c r="B21" s="137" t="s">
        <v>1172</v>
      </c>
      <c r="C21" s="137" t="s">
        <v>1112</v>
      </c>
      <c r="D21" s="137" t="s">
        <v>104</v>
      </c>
      <c r="E21" s="137" t="s">
        <v>105</v>
      </c>
    </row>
    <row r="22" spans="1:8" ht="21" x14ac:dyDescent="0.2">
      <c r="A22" s="137" t="str">
        <f>HLOOKUP(Intro!$B$7,$B:$I,ROW(A22),FALSE)</f>
        <v>https://qredits.nl/zakelijk-krediet</v>
      </c>
      <c r="B22" s="140" t="s">
        <v>1173</v>
      </c>
      <c r="C22" s="140" t="s">
        <v>1173</v>
      </c>
      <c r="D22" s="140" t="s">
        <v>24</v>
      </c>
      <c r="E22" s="140" t="s">
        <v>24</v>
      </c>
    </row>
    <row r="23" spans="1:8" ht="76.5" x14ac:dyDescent="0.2">
      <c r="A23" s="137" t="str">
        <f>HLOOKUP(Intro!$B$7,$B:$I,ROW(A23),FALSE)</f>
        <v xml:space="preserve">Disclaimer: Qredits draagt er zorg voor om de inhoud van deze module regelmatig bij te werken of toevoegingen hieraan te maken. Desalniettemin is Qredits niet aansprakelijk voor onjuistheden of onvolledigheden in de aangeboden inhoud. Qredits is op geen enkele wijze aansprakelijk voor schade voortvloeiend uit het gebruik van deze module. Het is de gebruiker slechts toegestaan om de module voor eigen gebruik op te slaan, af te drukken en te kopiëren.  </v>
      </c>
      <c r="B23" s="137" t="s">
        <v>1174</v>
      </c>
      <c r="C23" s="137" t="s">
        <v>106</v>
      </c>
      <c r="D23" s="137" t="s">
        <v>107</v>
      </c>
      <c r="E23" s="137" t="s">
        <v>108</v>
      </c>
    </row>
    <row r="25" spans="1:8" ht="15" x14ac:dyDescent="0.25">
      <c r="A25" s="150" t="str">
        <f>HLOOKUP(Intro!$B$7,$B:$I,ROW(A25),FALSE)</f>
        <v>VRAGENLIJST</v>
      </c>
      <c r="B25" s="150" t="s">
        <v>109</v>
      </c>
      <c r="C25" s="150" t="s">
        <v>110</v>
      </c>
      <c r="D25" s="150" t="s">
        <v>111</v>
      </c>
      <c r="E25" s="150" t="s">
        <v>112</v>
      </c>
      <c r="F25" s="150"/>
      <c r="G25" s="150"/>
      <c r="H25" s="150"/>
    </row>
    <row r="26" spans="1:8" x14ac:dyDescent="0.2">
      <c r="A26" s="137" t="str">
        <f>HLOOKUP(Intro!$B$7,$B:$I,ROW(A26),FALSE)</f>
        <v>Vragenlijst financieel plan</v>
      </c>
      <c r="B26" s="137" t="s">
        <v>113</v>
      </c>
      <c r="C26" s="137" t="s">
        <v>114</v>
      </c>
      <c r="D26" s="137" t="s">
        <v>115</v>
      </c>
      <c r="E26" s="137" t="s">
        <v>116</v>
      </c>
    </row>
    <row r="27" spans="1:8" x14ac:dyDescent="0.2">
      <c r="A27" s="137" t="str">
        <f>HLOOKUP(Intro!$B$7,$B:$I,ROW(A27),FALSE)</f>
        <v>Om mee te beginnen…</v>
      </c>
      <c r="B27" s="137" t="s">
        <v>1175</v>
      </c>
      <c r="C27" s="137" t="s">
        <v>1205</v>
      </c>
    </row>
    <row r="28" spans="1:8" x14ac:dyDescent="0.2">
      <c r="A28" s="137" t="str">
        <f>HLOOKUP(Intro!$B$7,$B:$I,ROW(A28),FALSE)</f>
        <v>Welke rechtsvorm heeft je bedrijf?</v>
      </c>
      <c r="B28" s="137" t="s">
        <v>117</v>
      </c>
      <c r="C28" s="137" t="s">
        <v>118</v>
      </c>
    </row>
    <row r="29" spans="1:8" x14ac:dyDescent="0.2">
      <c r="A29" s="137" t="str">
        <f>HLOOKUP(Intro!$B$7,$B:$I,ROW(A29),FALSE)</f>
        <v>Uit hoeveel ondernemers bestaat het bedrijf?</v>
      </c>
      <c r="B29" s="137" t="s">
        <v>1176</v>
      </c>
      <c r="C29" s="137" t="s">
        <v>119</v>
      </c>
    </row>
    <row r="30" spans="1:8" x14ac:dyDescent="0.2">
      <c r="A30" s="137" t="str">
        <f>HLOOKUP(Intro!$B$7,$B:$I,ROW(A30),FALSE)</f>
        <v>Antwoord:</v>
      </c>
      <c r="B30" s="137" t="s">
        <v>120</v>
      </c>
      <c r="C30" s="137" t="s">
        <v>121</v>
      </c>
    </row>
    <row r="31" spans="1:8" x14ac:dyDescent="0.2">
      <c r="A31" s="137" t="str">
        <f>HLOOKUP(Intro!$B$7,$B:$I,ROW(A31),FALSE)</f>
        <v>selecteer:</v>
      </c>
      <c r="B31" s="137" t="s">
        <v>411</v>
      </c>
      <c r="C31" s="137" t="s">
        <v>122</v>
      </c>
    </row>
    <row r="32" spans="1:8" x14ac:dyDescent="0.2">
      <c r="A32" s="137" t="str">
        <f>HLOOKUP(Intro!$B$7,$B:$I,ROW(A32),FALSE)</f>
        <v>Kies voor 'Twee' of 'Meer'.</v>
      </c>
      <c r="B32" s="137" t="s">
        <v>1109</v>
      </c>
      <c r="C32" s="137" t="s">
        <v>1110</v>
      </c>
    </row>
    <row r="33" spans="1:11" x14ac:dyDescent="0.2">
      <c r="A33" s="137" t="str">
        <f>HLOOKUP(Intro!$B$7,$B:$I,ROW(A33),FALSE)</f>
        <v>vul bedrag in:</v>
      </c>
      <c r="B33" s="137" t="s">
        <v>38</v>
      </c>
      <c r="C33" s="137" t="s">
        <v>1119</v>
      </c>
      <c r="D33" s="137" t="s">
        <v>413</v>
      </c>
      <c r="E33" s="137" t="s">
        <v>414</v>
      </c>
    </row>
    <row r="34" spans="1:11" x14ac:dyDescent="0.2">
      <c r="A34" s="137" t="str">
        <f>HLOOKUP(Intro!$B$7,$B:$I,ROW(A34),FALSE)</f>
        <v>vul nettobedrag in:</v>
      </c>
      <c r="B34" s="137" t="s">
        <v>1118</v>
      </c>
      <c r="C34" s="137" t="s">
        <v>1121</v>
      </c>
    </row>
    <row r="35" spans="1:11" x14ac:dyDescent="0.2">
      <c r="A35" s="137" t="str">
        <f>HLOOKUP(Intro!$B$7,$B:$I,ROW(A35),FALSE)</f>
        <v>vul perc. in:</v>
      </c>
      <c r="B35" s="137" t="s">
        <v>1177</v>
      </c>
      <c r="C35" s="137" t="s">
        <v>1120</v>
      </c>
      <c r="D35" s="137" t="s">
        <v>413</v>
      </c>
      <c r="E35" s="137" t="s">
        <v>414</v>
      </c>
      <c r="F35" s="138"/>
    </row>
    <row r="36" spans="1:11" x14ac:dyDescent="0.2">
      <c r="A36" s="137" t="str">
        <f>HLOOKUP(Intro!$B$7,$B:$I,ROW(A36),FALSE)</f>
        <v>is berekend:</v>
      </c>
      <c r="B36" s="137" t="s">
        <v>125</v>
      </c>
      <c r="C36" s="137" t="s">
        <v>1122</v>
      </c>
      <c r="D36" s="137" t="s">
        <v>415</v>
      </c>
      <c r="E36" s="137" t="s">
        <v>416</v>
      </c>
      <c r="F36" s="138"/>
    </row>
    <row r="37" spans="1:11" ht="25.5" x14ac:dyDescent="0.2">
      <c r="A37" s="137" t="str">
        <f>HLOOKUP(Intro!$B$7,$B:$I,ROW(A37),FALSE)</f>
        <v>Vul de antwoorden op de privévragen voor beide ondernemers apart in. (Man/vrouw kan ook gezamenlijk)</v>
      </c>
      <c r="B37" s="137" t="s">
        <v>1179</v>
      </c>
      <c r="C37" s="137" t="s">
        <v>1056</v>
      </c>
      <c r="F37" s="138"/>
      <c r="G37" s="138"/>
      <c r="H37" s="138"/>
      <c r="I37" s="138"/>
      <c r="J37" s="138"/>
      <c r="K37" s="138"/>
    </row>
    <row r="38" spans="1:11" ht="25.5" x14ac:dyDescent="0.2">
      <c r="A38" s="137" t="str">
        <f>HLOOKUP(Intro!$B$7,$B:$I,ROW(A38),FALSE)</f>
        <v>Vul de antwoorden op de privévragen voor max. twee ondernemers apart in. (Man/vrouw kan ook gezamenlijk)</v>
      </c>
      <c r="B38" s="137" t="s">
        <v>1178</v>
      </c>
      <c r="C38" s="137" t="s">
        <v>1057</v>
      </c>
    </row>
    <row r="39" spans="1:11" x14ac:dyDescent="0.2">
      <c r="A39" s="137" t="str">
        <f>HLOOKUP(Intro!$B$7,$B:$I,ROW(A39),FALSE)</f>
        <v>Vul de antwoorden op de privévragen in bij kolom F.</v>
      </c>
      <c r="B39" s="137" t="s">
        <v>1180</v>
      </c>
      <c r="C39" s="137" t="s">
        <v>1058</v>
      </c>
    </row>
    <row r="40" spans="1:11" x14ac:dyDescent="0.2">
      <c r="A40" s="137" t="str">
        <f>HLOOKUP(Intro!$B$7,$B:$I,ROW(A40),FALSE)</f>
        <v>Ondernemer:</v>
      </c>
      <c r="B40" s="137" t="s">
        <v>1009</v>
      </c>
      <c r="C40" s="137" t="s">
        <v>1012</v>
      </c>
    </row>
    <row r="41" spans="1:11" x14ac:dyDescent="0.2">
      <c r="A41" s="137" t="str">
        <f>HLOOKUP(Intro!$B$7,$B:$I,ROW(A41),FALSE)</f>
        <v>1e ondernemer:</v>
      </c>
      <c r="B41" s="137" t="s">
        <v>1010</v>
      </c>
      <c r="C41" s="137" t="s">
        <v>1013</v>
      </c>
    </row>
    <row r="42" spans="1:11" x14ac:dyDescent="0.2">
      <c r="A42" s="137" t="str">
        <f>HLOOKUP(Intro!$B$7,$B:$I,ROW(A42),FALSE)</f>
        <v>2e ondernemer:</v>
      </c>
      <c r="B42" s="137" t="s">
        <v>1011</v>
      </c>
      <c r="C42" s="137" t="s">
        <v>1014</v>
      </c>
    </row>
    <row r="43" spans="1:11" x14ac:dyDescent="0.2">
      <c r="A43" s="137" t="str">
        <f>HLOOKUP(Intro!$B$7,$B:$I,ROW(A43),FALSE)</f>
        <v>Wat is de winstverdeling?</v>
      </c>
      <c r="B43" s="137" t="s">
        <v>123</v>
      </c>
      <c r="C43" s="137" t="s">
        <v>124</v>
      </c>
    </row>
    <row r="44" spans="1:11" x14ac:dyDescent="0.2">
      <c r="A44" s="137" t="str">
        <f>HLOOKUP(Intro!$B$7,$B:$I,ROW(A44),FALSE)</f>
        <v>Privé-inkomsten (maandelijks)</v>
      </c>
      <c r="B44" s="137" t="s">
        <v>126</v>
      </c>
      <c r="C44" s="137" t="s">
        <v>127</v>
      </c>
      <c r="D44" s="137" t="s">
        <v>128</v>
      </c>
      <c r="E44" s="137" t="s">
        <v>129</v>
      </c>
    </row>
    <row r="45" spans="1:11" ht="25.5" x14ac:dyDescent="0.2">
      <c r="A45" s="137" t="str">
        <f>HLOOKUP(Intro!$B$7,$B:$I,ROW(A45),FALSE)</f>
        <v>Hoeveel salaris (uit loondienstverband) krijg je maandelijks op je rekening gestort?</v>
      </c>
      <c r="B45" s="137" t="s">
        <v>130</v>
      </c>
      <c r="C45" s="137" t="s">
        <v>131</v>
      </c>
      <c r="D45" s="137" t="s">
        <v>132</v>
      </c>
      <c r="E45" s="137" t="s">
        <v>133</v>
      </c>
    </row>
    <row r="46" spans="1:11" x14ac:dyDescent="0.2">
      <c r="A46" s="137" t="str">
        <f>HLOOKUP(Intro!$B$7,$B:$I,ROW(A46),FALSE)</f>
        <v>Hoeveel van dat salaris ontvang je nog als je jouw bedrijf hebt opgestart?</v>
      </c>
      <c r="B46" s="137" t="s">
        <v>134</v>
      </c>
      <c r="C46" s="137" t="s">
        <v>135</v>
      </c>
      <c r="D46" s="137" t="s">
        <v>136</v>
      </c>
      <c r="E46" s="137" t="s">
        <v>137</v>
      </c>
    </row>
    <row r="47" spans="1:11" ht="25.5" x14ac:dyDescent="0.2">
      <c r="A47" s="137" t="str">
        <f>HLOOKUP(Intro!$B$7,$B:$I,ROW(A47),FALSE)</f>
        <v>Als je een (tijdelijke) uitkering of overig inkomen ontvangt, hoe hoog is deze dan per maand?</v>
      </c>
      <c r="B47" s="137" t="s">
        <v>1181</v>
      </c>
      <c r="C47" s="137" t="s">
        <v>1078</v>
      </c>
      <c r="D47" s="137" t="s">
        <v>138</v>
      </c>
      <c r="E47" s="137" t="s">
        <v>139</v>
      </c>
    </row>
    <row r="48" spans="1:11" x14ac:dyDescent="0.2">
      <c r="A48" s="137" t="str">
        <f>HLOOKUP(Intro!$B$7,$B:$I,ROW(A48),FALSE)</f>
        <v>Hoelang loopt deze uitkering of dit overige inkomen door na de start van jouw bedrijf?</v>
      </c>
      <c r="B48" s="137" t="s">
        <v>1182</v>
      </c>
      <c r="C48" s="137" t="s">
        <v>1079</v>
      </c>
      <c r="D48" s="137" t="s">
        <v>140</v>
      </c>
      <c r="E48" s="137" t="s">
        <v>141</v>
      </c>
    </row>
    <row r="49" spans="1:11" x14ac:dyDescent="0.2">
      <c r="A49" s="137" t="str">
        <f>HLOOKUP(Intro!$B$7,$B:$I,ROW(A49),FALSE)</f>
        <v>Hoe hoog zijn de toeslagen (zoals kind-, zorg- en huurtoeslag) per maand?</v>
      </c>
      <c r="B49" s="137" t="s">
        <v>1183</v>
      </c>
      <c r="C49" s="137" t="s">
        <v>142</v>
      </c>
    </row>
    <row r="50" spans="1:11" x14ac:dyDescent="0.2">
      <c r="A50" s="137" t="str">
        <f>HLOOKUP(Intro!$B$7,$B:$I,ROW(A50),FALSE)</f>
        <v>Heb je een levenspartner met inkomen (uit loondienstverband of uitkering)?</v>
      </c>
      <c r="B50" s="137" t="s">
        <v>1080</v>
      </c>
      <c r="C50" s="137" t="s">
        <v>1081</v>
      </c>
      <c r="D50" s="137" t="s">
        <v>143</v>
      </c>
      <c r="E50" s="137" t="s">
        <v>144</v>
      </c>
    </row>
    <row r="51" spans="1:11" s="138" customFormat="1" x14ac:dyDescent="0.2">
      <c r="A51" s="137" t="str">
        <f>HLOOKUP(Intro!$B$7,$B:$I,ROW(A51),FALSE)</f>
        <v>Hoe hoog is dit inkomen per maand?</v>
      </c>
      <c r="B51" s="137" t="s">
        <v>1184</v>
      </c>
      <c r="C51" s="137" t="s">
        <v>1015</v>
      </c>
      <c r="D51" s="137" t="s">
        <v>1031</v>
      </c>
      <c r="E51" s="137" t="s">
        <v>1032</v>
      </c>
      <c r="F51" s="137"/>
      <c r="G51" s="137"/>
      <c r="H51" s="137"/>
      <c r="I51" s="137"/>
      <c r="J51" s="137"/>
      <c r="K51" s="137"/>
    </row>
    <row r="52" spans="1:11" s="138" customFormat="1" x14ac:dyDescent="0.2">
      <c r="A52" s="137" t="str">
        <f>HLOOKUP(Intro!$B$7,$B:$I,ROW(A52),FALSE)</f>
        <v>Hoeveel van dit inkomen ontvangt je partner nog als je jouw bedrijf hebt opgestart?</v>
      </c>
      <c r="B52" s="137" t="s">
        <v>1185</v>
      </c>
      <c r="C52" s="137" t="s">
        <v>1016</v>
      </c>
      <c r="D52" s="137" t="s">
        <v>1033</v>
      </c>
      <c r="E52" s="137" t="s">
        <v>1034</v>
      </c>
      <c r="F52" s="137"/>
      <c r="G52" s="137"/>
      <c r="H52" s="137"/>
      <c r="I52" s="137"/>
      <c r="J52" s="137"/>
      <c r="K52" s="137"/>
    </row>
    <row r="53" spans="1:11" x14ac:dyDescent="0.2">
      <c r="A53" s="137" t="str">
        <f>HLOOKUP(Intro!$B$7,$B:$I,ROW(A53),FALSE)</f>
        <v>Totaal gezamenlijk maandinkomen op dit moment:</v>
      </c>
      <c r="B53" s="137" t="s">
        <v>1186</v>
      </c>
      <c r="C53" s="137" t="s">
        <v>145</v>
      </c>
      <c r="D53" s="137" t="s">
        <v>146</v>
      </c>
      <c r="E53" s="137" t="s">
        <v>147</v>
      </c>
    </row>
    <row r="54" spans="1:11" x14ac:dyDescent="0.2">
      <c r="A54" s="137" t="str">
        <f>HLOOKUP(Intro!$B$7,$B:$I,ROW(A54),FALSE)</f>
        <v>Totaal gezamenlijk maandinkomen wanneer je bedrijf is opgestart:</v>
      </c>
      <c r="B54" s="137" t="s">
        <v>1187</v>
      </c>
      <c r="C54" s="137" t="s">
        <v>148</v>
      </c>
      <c r="D54" s="137" t="s">
        <v>149</v>
      </c>
      <c r="E54" s="137" t="s">
        <v>150</v>
      </c>
    </row>
    <row r="55" spans="1:11" x14ac:dyDescent="0.2">
      <c r="A55" s="137" t="str">
        <f>HLOOKUP(Intro!$B$7,$B:$I,ROW(A55),FALSE)</f>
        <v>Privé-uitgaven (maandelijks)</v>
      </c>
      <c r="B55" s="137" t="s">
        <v>151</v>
      </c>
      <c r="C55" s="137" t="s">
        <v>152</v>
      </c>
      <c r="D55" s="137" t="s">
        <v>153</v>
      </c>
      <c r="E55" s="137" t="s">
        <v>154</v>
      </c>
    </row>
    <row r="56" spans="1:11" x14ac:dyDescent="0.2">
      <c r="A56" s="137" t="str">
        <f>HLOOKUP(Intro!$B$7,$B:$I,ROW(A56),FALSE)</f>
        <v>Hoeveel geef je maandelijks privé uit?</v>
      </c>
      <c r="B56" s="137" t="s">
        <v>1188</v>
      </c>
      <c r="C56" s="137" t="s">
        <v>155</v>
      </c>
      <c r="D56" s="137" t="s">
        <v>156</v>
      </c>
      <c r="E56" s="137" t="s">
        <v>157</v>
      </c>
    </row>
    <row r="57" spans="1:11" x14ac:dyDescent="0.2">
      <c r="A57" s="137" t="str">
        <f>HLOOKUP(Intro!$B$7,$B:$I,ROW(A57),FALSE)</f>
        <v>Huur woonhuis</v>
      </c>
      <c r="B57" s="137" t="s">
        <v>158</v>
      </c>
      <c r="C57" s="137" t="s">
        <v>159</v>
      </c>
      <c r="D57" s="137" t="s">
        <v>160</v>
      </c>
      <c r="E57" s="137" t="s">
        <v>161</v>
      </c>
    </row>
    <row r="58" spans="1:11" x14ac:dyDescent="0.2">
      <c r="A58" s="137" t="str">
        <f>HLOOKUP(Intro!$B$7,$B:$I,ROW(A58),FALSE)</f>
        <v>Aflossing en rente hypotheek (netto)</v>
      </c>
      <c r="B58" s="137" t="s">
        <v>162</v>
      </c>
      <c r="C58" s="137" t="s">
        <v>163</v>
      </c>
      <c r="D58" s="137" t="s">
        <v>164</v>
      </c>
      <c r="E58" s="137" t="s">
        <v>165</v>
      </c>
    </row>
    <row r="59" spans="1:11" x14ac:dyDescent="0.2">
      <c r="A59" s="137" t="str">
        <f>HLOOKUP(Intro!$B$7,$B:$I,ROW(A59),FALSE)</f>
        <v>Gas, water en elektriciteit</v>
      </c>
      <c r="B59" s="137" t="s">
        <v>166</v>
      </c>
      <c r="C59" s="137" t="s">
        <v>167</v>
      </c>
      <c r="D59" s="137" t="s">
        <v>168</v>
      </c>
      <c r="E59" s="137" t="s">
        <v>169</v>
      </c>
    </row>
    <row r="60" spans="1:11" x14ac:dyDescent="0.2">
      <c r="A60" s="137" t="str">
        <f>HLOOKUP(Intro!$B$7,$B:$I,ROW(A60),FALSE)</f>
        <v>Duurzame consumptiegoederen</v>
      </c>
      <c r="B60" s="137" t="s">
        <v>170</v>
      </c>
      <c r="C60" s="137" t="s">
        <v>171</v>
      </c>
      <c r="D60" s="137" t="s">
        <v>172</v>
      </c>
      <c r="E60" s="137" t="s">
        <v>173</v>
      </c>
    </row>
    <row r="61" spans="1:11" x14ac:dyDescent="0.2">
      <c r="A61" s="137" t="str">
        <f>HLOOKUP(Intro!$B$7,$B:$I,ROW(A61),FALSE)</f>
        <v>Ziektekostenverzekering</v>
      </c>
      <c r="B61" s="137" t="s">
        <v>174</v>
      </c>
      <c r="C61" s="137" t="s">
        <v>175</v>
      </c>
      <c r="D61" s="137" t="s">
        <v>176</v>
      </c>
      <c r="E61" s="137" t="s">
        <v>177</v>
      </c>
    </row>
    <row r="62" spans="1:11" x14ac:dyDescent="0.2">
      <c r="A62" s="137" t="str">
        <f>HLOOKUP(Intro!$B$7,$B:$I,ROW(A62),FALSE)</f>
        <v>Overige verzekeringen (inboedel, WA, e.d.)</v>
      </c>
      <c r="B62" s="137" t="s">
        <v>1140</v>
      </c>
      <c r="C62" s="137" t="s">
        <v>178</v>
      </c>
      <c r="D62" s="137" t="s">
        <v>179</v>
      </c>
      <c r="E62" s="137" t="s">
        <v>180</v>
      </c>
    </row>
    <row r="63" spans="1:11" x14ac:dyDescent="0.2">
      <c r="A63" s="137" t="str">
        <f>HLOOKUP(Intro!$B$7,$B:$I,ROW(A63),FALSE)</f>
        <v>Vervoer (brandstof, onderhoud, abonnement)</v>
      </c>
      <c r="B63" s="137" t="s">
        <v>1141</v>
      </c>
      <c r="C63" s="137" t="s">
        <v>181</v>
      </c>
      <c r="D63" s="137" t="s">
        <v>182</v>
      </c>
      <c r="E63" s="137" t="s">
        <v>183</v>
      </c>
    </row>
    <row r="64" spans="1:11" x14ac:dyDescent="0.2">
      <c r="A64" s="137" t="str">
        <f>HLOOKUP(Intro!$B$7,$B:$I,ROW(A64),FALSE)</f>
        <v>Huishoudelijke uitgaven (voeding/kleding/sport)</v>
      </c>
      <c r="B64" s="137" t="s">
        <v>184</v>
      </c>
      <c r="C64" s="137" t="s">
        <v>185</v>
      </c>
      <c r="D64" s="137" t="s">
        <v>186</v>
      </c>
      <c r="E64" s="137" t="s">
        <v>187</v>
      </c>
    </row>
    <row r="65" spans="1:5" x14ac:dyDescent="0.2">
      <c r="A65" s="137" t="str">
        <f>HLOOKUP(Intro!$B$7,$B:$I,ROW(A65),FALSE)</f>
        <v>Vakantie en recreatie</v>
      </c>
      <c r="B65" s="137" t="s">
        <v>188</v>
      </c>
      <c r="C65" s="137" t="s">
        <v>189</v>
      </c>
      <c r="D65" s="137" t="s">
        <v>190</v>
      </c>
      <c r="E65" s="137" t="s">
        <v>191</v>
      </c>
    </row>
    <row r="66" spans="1:5" x14ac:dyDescent="0.2">
      <c r="A66" s="137" t="str">
        <f>HLOOKUP(Intro!$B$7,$B:$I,ROW(A66),FALSE)</f>
        <v>Opleiding, studiekosten en opvang kinderen</v>
      </c>
      <c r="B66" s="137" t="s">
        <v>192</v>
      </c>
      <c r="C66" s="137" t="s">
        <v>193</v>
      </c>
      <c r="D66" s="137" t="s">
        <v>194</v>
      </c>
      <c r="E66" s="137" t="s">
        <v>195</v>
      </c>
    </row>
    <row r="67" spans="1:5" x14ac:dyDescent="0.2">
      <c r="A67" s="137" t="str">
        <f>HLOOKUP(Intro!$B$7,$B:$I,ROW(A67),FALSE)</f>
        <v>Aflossing en rente privélening (geen hypotheek)</v>
      </c>
      <c r="B67" s="137" t="s">
        <v>1189</v>
      </c>
      <c r="C67" s="137" t="s">
        <v>196</v>
      </c>
      <c r="D67" s="137" t="s">
        <v>197</v>
      </c>
      <c r="E67" s="137" t="s">
        <v>198</v>
      </c>
    </row>
    <row r="68" spans="1:5" x14ac:dyDescent="0.2">
      <c r="A68" s="137" t="str">
        <f>HLOOKUP(Intro!$B$7,$B:$I,ROW(A68),FALSE)</f>
        <v>Overige privé-uitgaven</v>
      </c>
      <c r="B68" s="137" t="s">
        <v>199</v>
      </c>
      <c r="C68" s="137" t="s">
        <v>200</v>
      </c>
      <c r="D68" s="137" t="s">
        <v>201</v>
      </c>
      <c r="E68" s="137" t="s">
        <v>202</v>
      </c>
    </row>
    <row r="69" spans="1:5" x14ac:dyDescent="0.2">
      <c r="A69" s="137" t="str">
        <f>HLOOKUP(Intro!$B$7,$B:$I,ROW(A69),FALSE)</f>
        <v>Dit bedrag kan je maandelijks nog sparen voordat je met je bedrijf gaat starten:</v>
      </c>
      <c r="B69" s="137" t="s">
        <v>203</v>
      </c>
      <c r="C69" s="137" t="s">
        <v>204</v>
      </c>
      <c r="D69" s="137" t="s">
        <v>205</v>
      </c>
      <c r="E69" s="137" t="s">
        <v>206</v>
      </c>
    </row>
    <row r="70" spans="1:5" x14ac:dyDescent="0.2">
      <c r="A70" s="137" t="str">
        <f>HLOOKUP(Intro!$B$7,$B:$I,ROW(A70),FALSE)</f>
        <v>Dit bedrag moet je maandelijks uit je onderneming halen als je bent gestart:</v>
      </c>
      <c r="B70" s="137" t="s">
        <v>207</v>
      </c>
      <c r="C70" s="137" t="s">
        <v>208</v>
      </c>
      <c r="D70" s="137" t="s">
        <v>209</v>
      </c>
      <c r="E70" s="137" t="s">
        <v>210</v>
      </c>
    </row>
    <row r="71" spans="1:5" x14ac:dyDescent="0.2">
      <c r="A71" s="137" t="str">
        <f>HLOOKUP(Intro!$B$7,$B:$I,ROW(A71),FALSE)</f>
        <v>Hoeveel salaris ga je maandelijks uit de B.V. halen?</v>
      </c>
      <c r="B71" s="137" t="s">
        <v>1059</v>
      </c>
      <c r="C71" s="137" t="s">
        <v>1060</v>
      </c>
    </row>
    <row r="72" spans="1:5" x14ac:dyDescent="0.2">
      <c r="A72" s="137" t="str">
        <f>HLOOKUP(Intro!$B$7,$B:$I,ROW(A72),FALSE)</f>
        <v>Vul het brutoloon in:</v>
      </c>
      <c r="B72" s="137" t="s">
        <v>1061</v>
      </c>
      <c r="C72" s="137" t="s">
        <v>1062</v>
      </c>
    </row>
    <row r="73" spans="1:5" x14ac:dyDescent="0.2">
      <c r="A73" s="137" t="str">
        <f>HLOOKUP(Intro!$B$7,$B:$I,ROW(A73),FALSE)</f>
        <v>Privé: Eigen geld, bezittingen en schulden</v>
      </c>
      <c r="B73" s="137" t="s">
        <v>211</v>
      </c>
      <c r="C73" s="137" t="s">
        <v>212</v>
      </c>
      <c r="D73" s="137" t="s">
        <v>213</v>
      </c>
      <c r="E73" s="137" t="s">
        <v>214</v>
      </c>
    </row>
    <row r="74" spans="1:5" x14ac:dyDescent="0.2">
      <c r="A74" s="137" t="str">
        <f>HLOOKUP(Intro!$B$7,$B:$I,ROW(A74),FALSE)</f>
        <v>Heb je een koopwoning?</v>
      </c>
      <c r="B74" s="137" t="s">
        <v>215</v>
      </c>
      <c r="C74" s="137" t="s">
        <v>216</v>
      </c>
      <c r="D74" s="137" t="s">
        <v>217</v>
      </c>
      <c r="E74" s="137" t="s">
        <v>218</v>
      </c>
    </row>
    <row r="75" spans="1:5" x14ac:dyDescent="0.2">
      <c r="A75" s="137" t="str">
        <f>HLOOKUP(Intro!$B$7,$B:$I,ROW(A75),FALSE)</f>
        <v>Wat is de WOZ-waarde van je woning?</v>
      </c>
      <c r="B75" s="137" t="s">
        <v>1190</v>
      </c>
      <c r="C75" s="137" t="s">
        <v>219</v>
      </c>
      <c r="D75" s="137" t="s">
        <v>220</v>
      </c>
      <c r="E75" s="137" t="s">
        <v>221</v>
      </c>
    </row>
    <row r="76" spans="1:5" x14ac:dyDescent="0.2">
      <c r="A76" s="137" t="str">
        <f>HLOOKUP(Intro!$B$7,$B:$I,ROW(A76),FALSE)</f>
        <v>Wat is de hoogte van je openstaande hypotheek?</v>
      </c>
      <c r="B76" s="137" t="s">
        <v>1082</v>
      </c>
      <c r="C76" s="137" t="s">
        <v>1083</v>
      </c>
      <c r="D76" s="137" t="s">
        <v>222</v>
      </c>
      <c r="E76" s="137" t="s">
        <v>223</v>
      </c>
    </row>
    <row r="77" spans="1:5" x14ac:dyDescent="0.2">
      <c r="A77" s="137" t="str">
        <f>HLOOKUP(Intro!$B$7,$B:$I,ROW(A77),FALSE)</f>
        <v>Als je (naast je hypotheek) nog andere schulden hebt, hoe hoog zijn deze schulden?</v>
      </c>
      <c r="B77" s="137" t="s">
        <v>224</v>
      </c>
      <c r="C77" s="137" t="s">
        <v>225</v>
      </c>
      <c r="D77" s="137" t="s">
        <v>226</v>
      </c>
      <c r="E77" s="137" t="s">
        <v>227</v>
      </c>
    </row>
    <row r="78" spans="1:5" x14ac:dyDescent="0.2">
      <c r="A78" s="137" t="str">
        <f>HLOOKUP(Intro!$B$7,$B:$I,ROW(A78),FALSE)</f>
        <v xml:space="preserve">Hoeveel spaargeld heb je op dit moment? </v>
      </c>
      <c r="B78" s="137" t="s">
        <v>228</v>
      </c>
      <c r="C78" s="137" t="s">
        <v>229</v>
      </c>
      <c r="D78" s="137" t="s">
        <v>230</v>
      </c>
      <c r="E78" s="137" t="s">
        <v>231</v>
      </c>
    </row>
    <row r="79" spans="1:5" x14ac:dyDescent="0.2">
      <c r="A79" s="137" t="str">
        <f>HLOOKUP(Intro!$B$7,$B:$I,ROW(A79),FALSE)</f>
        <v>Welk bedrag heb je gespaard voor de start van jouw bedrijf?</v>
      </c>
      <c r="B79" s="137" t="s">
        <v>232</v>
      </c>
      <c r="C79" s="137" t="s">
        <v>233</v>
      </c>
      <c r="D79" s="137" t="s">
        <v>234</v>
      </c>
      <c r="E79" s="137" t="s">
        <v>235</v>
      </c>
    </row>
    <row r="80" spans="1:5" x14ac:dyDescent="0.2">
      <c r="A80" s="137" t="str">
        <f>HLOOKUP(Intro!$B$7,$B:$I,ROW(A80),FALSE)</f>
        <v>Als je nog ander vermogen hebt, zoals aandelen of vastgoed, wat is de waarde hiervan?</v>
      </c>
      <c r="B80" s="137" t="s">
        <v>236</v>
      </c>
      <c r="C80" s="137" t="s">
        <v>237</v>
      </c>
      <c r="D80" s="137" t="s">
        <v>238</v>
      </c>
      <c r="E80" s="137" t="s">
        <v>239</v>
      </c>
    </row>
    <row r="81" spans="1:11" x14ac:dyDescent="0.2">
      <c r="A81" s="137" t="str">
        <f>HLOOKUP(Intro!$B$7,$B:$I,ROW(A81),FALSE)</f>
        <v>Investeringen (voor langere periode)</v>
      </c>
      <c r="B81" s="137" t="s">
        <v>240</v>
      </c>
      <c r="C81" s="137" t="s">
        <v>241</v>
      </c>
      <c r="D81" s="137" t="s">
        <v>242</v>
      </c>
      <c r="E81" s="137" t="s">
        <v>243</v>
      </c>
    </row>
    <row r="82" spans="1:11" x14ac:dyDescent="0.2">
      <c r="A82" s="137" t="str">
        <f>HLOOKUP(Intro!$B$7,$B:$I,ROW(A82),FALSE)</f>
        <v xml:space="preserve">Wat heb je nodig om te kunnen starten met je bedrijf?  </v>
      </c>
      <c r="B82" s="137" t="s">
        <v>244</v>
      </c>
      <c r="C82" s="137" t="s">
        <v>245</v>
      </c>
      <c r="D82" s="137" t="s">
        <v>246</v>
      </c>
      <c r="E82" s="137" t="s">
        <v>247</v>
      </c>
    </row>
    <row r="83" spans="1:11" x14ac:dyDescent="0.2">
      <c r="A83" s="137" t="str">
        <f>HLOOKUP(Intro!$B$7,$B:$I,ROW(A83),FALSE)</f>
        <v>Aankoop onroerend goed</v>
      </c>
      <c r="B83" s="137" t="s">
        <v>248</v>
      </c>
      <c r="C83" s="137" t="s">
        <v>249</v>
      </c>
    </row>
    <row r="84" spans="1:11" x14ac:dyDescent="0.2">
      <c r="A84" s="137" t="str">
        <f>HLOOKUP(Intro!$B$7,$B:$I,ROW(A84),FALSE)</f>
        <v>Verbouwing</v>
      </c>
      <c r="B84" s="137" t="s">
        <v>250</v>
      </c>
      <c r="C84" s="137" t="s">
        <v>251</v>
      </c>
      <c r="D84" s="137" t="s">
        <v>252</v>
      </c>
      <c r="E84" s="137" t="s">
        <v>253</v>
      </c>
      <c r="K84" s="138"/>
    </row>
    <row r="85" spans="1:11" x14ac:dyDescent="0.2">
      <c r="A85" s="137" t="str">
        <f>HLOOKUP(Intro!$B$7,$B:$I,ROW(A85),FALSE)</f>
        <v>Inventaris</v>
      </c>
      <c r="B85" s="137" t="s">
        <v>254</v>
      </c>
      <c r="C85" s="137" t="s">
        <v>255</v>
      </c>
      <c r="D85" s="137" t="s">
        <v>256</v>
      </c>
      <c r="E85" s="137" t="s">
        <v>256</v>
      </c>
      <c r="K85" s="138"/>
    </row>
    <row r="86" spans="1:11" x14ac:dyDescent="0.2">
      <c r="A86" s="137" t="str">
        <f>HLOOKUP(Intro!$B$7,$B:$I,ROW(A86),FALSE)</f>
        <v>Machines en/of gereedschappen</v>
      </c>
      <c r="B86" s="137" t="s">
        <v>1084</v>
      </c>
      <c r="C86" s="137" t="s">
        <v>1085</v>
      </c>
      <c r="D86" s="137" t="s">
        <v>257</v>
      </c>
      <c r="E86" s="137" t="s">
        <v>258</v>
      </c>
      <c r="K86" s="138"/>
    </row>
    <row r="87" spans="1:11" x14ac:dyDescent="0.2">
      <c r="A87" s="137" t="str">
        <f>HLOOKUP(Intro!$B$7,$B:$I,ROW(A87),FALSE)</f>
        <v>Computer en/of software</v>
      </c>
      <c r="B87" s="137" t="s">
        <v>259</v>
      </c>
      <c r="C87" s="137" t="s">
        <v>260</v>
      </c>
      <c r="D87" s="137" t="s">
        <v>261</v>
      </c>
      <c r="E87" s="137" t="s">
        <v>262</v>
      </c>
    </row>
    <row r="88" spans="1:11" x14ac:dyDescent="0.2">
      <c r="A88" s="137" t="str">
        <f>HLOOKUP(Intro!$B$7,$B:$I,ROW(A88),FALSE)</f>
        <v>Transportmiddel</v>
      </c>
      <c r="B88" s="137" t="s">
        <v>263</v>
      </c>
      <c r="C88" s="137" t="s">
        <v>1086</v>
      </c>
      <c r="D88" s="137" t="s">
        <v>264</v>
      </c>
      <c r="E88" s="137" t="s">
        <v>265</v>
      </c>
      <c r="K88" s="138"/>
    </row>
    <row r="89" spans="1:11" x14ac:dyDescent="0.2">
      <c r="A89" s="137" t="str">
        <f>HLOOKUP(Intro!$B$7,$B:$I,ROW(A89),FALSE)</f>
        <v>Startvoorraad product 1</v>
      </c>
      <c r="B89" s="137" t="s">
        <v>266</v>
      </c>
      <c r="C89" s="137" t="s">
        <v>267</v>
      </c>
      <c r="D89" s="137" t="s">
        <v>268</v>
      </c>
      <c r="E89" s="137" t="s">
        <v>269</v>
      </c>
      <c r="K89" s="138"/>
    </row>
    <row r="90" spans="1:11" x14ac:dyDescent="0.2">
      <c r="A90" s="137" t="str">
        <f>HLOOKUP(Intro!$B$7,$B:$I,ROW(A90),FALSE)</f>
        <v>Startvoorraad product 2</v>
      </c>
      <c r="B90" s="137" t="s">
        <v>270</v>
      </c>
      <c r="C90" s="137" t="s">
        <v>271</v>
      </c>
      <c r="D90" s="137" t="s">
        <v>268</v>
      </c>
      <c r="E90" s="137" t="s">
        <v>269</v>
      </c>
      <c r="K90" s="138"/>
    </row>
    <row r="91" spans="1:11" x14ac:dyDescent="0.2">
      <c r="A91" s="137" t="str">
        <f>HLOOKUP(Intro!$B$7,$B:$I,ROW(A91),FALSE)</f>
        <v>Huurgarantie</v>
      </c>
      <c r="B91" s="137" t="s">
        <v>272</v>
      </c>
      <c r="C91" s="137" t="s">
        <v>273</v>
      </c>
      <c r="D91" s="137" t="s">
        <v>274</v>
      </c>
      <c r="E91" s="137" t="s">
        <v>275</v>
      </c>
    </row>
    <row r="92" spans="1:11" x14ac:dyDescent="0.2">
      <c r="A92" s="137" t="str">
        <f>HLOOKUP(Intro!$B$7,$B:$I,ROW(A92),FALSE)</f>
        <v>Franchisefee</v>
      </c>
      <c r="B92" s="137" t="s">
        <v>276</v>
      </c>
      <c r="C92" s="137" t="s">
        <v>277</v>
      </c>
      <c r="D92" s="137" t="s">
        <v>278</v>
      </c>
      <c r="E92" s="137" t="s">
        <v>279</v>
      </c>
    </row>
    <row r="93" spans="1:11" x14ac:dyDescent="0.2">
      <c r="A93" s="137" t="str">
        <f>HLOOKUP(Intro!$B$7,$B:$I,ROW(A93),FALSE)</f>
        <v>Goodwill</v>
      </c>
      <c r="B93" s="137" t="s">
        <v>280</v>
      </c>
      <c r="C93" s="137" t="s">
        <v>280</v>
      </c>
      <c r="D93" s="137" t="s">
        <v>281</v>
      </c>
      <c r="E93" s="137" t="s">
        <v>280</v>
      </c>
    </row>
    <row r="94" spans="1:11" x14ac:dyDescent="0.2">
      <c r="A94" s="137" t="str">
        <f>HLOOKUP(Intro!$B$7,$B:$I,ROW(A94),FALSE)</f>
        <v>Promotiekosten</v>
      </c>
      <c r="B94" s="137" t="s">
        <v>282</v>
      </c>
      <c r="C94" s="137" t="s">
        <v>1087</v>
      </c>
      <c r="D94" s="137" t="s">
        <v>283</v>
      </c>
      <c r="E94" s="137" t="s">
        <v>284</v>
      </c>
      <c r="K94" s="138"/>
    </row>
    <row r="95" spans="1:11" x14ac:dyDescent="0.2">
      <c r="A95" s="137" t="str">
        <f>HLOOKUP(Intro!$B$7,$B:$I,ROW(A95),FALSE)</f>
        <v>Btw over investeringen</v>
      </c>
      <c r="B95" s="137" t="s">
        <v>1147</v>
      </c>
      <c r="C95" s="137" t="s">
        <v>285</v>
      </c>
      <c r="D95" s="137" t="s">
        <v>286</v>
      </c>
      <c r="E95" s="137" t="s">
        <v>287</v>
      </c>
    </row>
    <row r="96" spans="1:11" x14ac:dyDescent="0.2">
      <c r="A96" s="137" t="str">
        <f>HLOOKUP(Intro!$B$7,$B:$I,ROW(A96),FALSE)</f>
        <v>Overbrugging, aanloopkosten en overig/onvoorzien</v>
      </c>
      <c r="B96" s="137" t="s">
        <v>288</v>
      </c>
      <c r="C96" s="137" t="s">
        <v>289</v>
      </c>
      <c r="D96" s="137" t="s">
        <v>290</v>
      </c>
      <c r="E96" s="137" t="s">
        <v>291</v>
      </c>
      <c r="K96" s="138"/>
    </row>
    <row r="97" spans="1:11" x14ac:dyDescent="0.2">
      <c r="A97" s="137" t="str">
        <f>HLOOKUP(Intro!$B$7,$B:$I,ROW(A97),FALSE)</f>
        <v>Financieringen</v>
      </c>
      <c r="B97" s="137" t="s">
        <v>292</v>
      </c>
      <c r="C97" s="137" t="s">
        <v>293</v>
      </c>
      <c r="D97" s="137" t="s">
        <v>294</v>
      </c>
      <c r="E97" s="137" t="s">
        <v>295</v>
      </c>
    </row>
    <row r="98" spans="1:11" x14ac:dyDescent="0.2">
      <c r="A98" s="137" t="str">
        <f>HLOOKUP(Intro!$B$7,$B:$I,ROW(A98),FALSE)</f>
        <v>Hoeveel (spaar)geld ga je zelf inbrengen?</v>
      </c>
      <c r="B98" s="137" t="s">
        <v>296</v>
      </c>
      <c r="C98" s="137" t="s">
        <v>297</v>
      </c>
      <c r="D98" s="137" t="s">
        <v>298</v>
      </c>
      <c r="E98" s="137" t="s">
        <v>299</v>
      </c>
    </row>
    <row r="99" spans="1:11" x14ac:dyDescent="0.2">
      <c r="A99" s="137" t="str">
        <f>HLOOKUP(Intro!$B$7,$B:$I,ROW(A99),FALSE)</f>
        <v>Hoeveel geld heb je geleend en/of ga je lenen bij familie/bekenden?</v>
      </c>
      <c r="B99" s="137" t="s">
        <v>300</v>
      </c>
      <c r="C99" s="137" t="s">
        <v>301</v>
      </c>
      <c r="D99" s="137" t="s">
        <v>302</v>
      </c>
      <c r="E99" s="137" t="s">
        <v>303</v>
      </c>
    </row>
    <row r="100" spans="1:11" s="138" customFormat="1" x14ac:dyDescent="0.2">
      <c r="A100" s="137" t="str">
        <f>HLOOKUP(Intro!$B$7,$B:$I,ROW(A100),FALSE)</f>
        <v>a. Hoeveel rente betaal je hiervoor per maand?</v>
      </c>
      <c r="B100" s="137" t="s">
        <v>1017</v>
      </c>
      <c r="C100" s="137" t="s">
        <v>1018</v>
      </c>
      <c r="D100" s="137" t="s">
        <v>1035</v>
      </c>
      <c r="E100" s="137" t="s">
        <v>1036</v>
      </c>
      <c r="F100" s="137"/>
      <c r="G100" s="137"/>
      <c r="H100" s="137"/>
      <c r="I100" s="137"/>
      <c r="J100" s="137"/>
      <c r="K100" s="137"/>
    </row>
    <row r="101" spans="1:11" s="138" customFormat="1" x14ac:dyDescent="0.2">
      <c r="A101" s="137" t="str">
        <f>HLOOKUP(Intro!$B$7,$B:$I,ROW(A101),FALSE)</f>
        <v>b. Hoeveel moet je per maand terugbetalen (aflossen)?</v>
      </c>
      <c r="B101" s="137" t="s">
        <v>1019</v>
      </c>
      <c r="C101" s="137" t="s">
        <v>1020</v>
      </c>
      <c r="D101" s="137" t="s">
        <v>1038</v>
      </c>
      <c r="E101" s="137" t="s">
        <v>1037</v>
      </c>
      <c r="F101" s="137"/>
      <c r="G101" s="137"/>
      <c r="H101" s="137"/>
      <c r="I101" s="137"/>
      <c r="J101" s="137"/>
      <c r="K101" s="137"/>
    </row>
    <row r="102" spans="1:11" s="138" customFormat="1" x14ac:dyDescent="0.2">
      <c r="A102" s="137" t="str">
        <f>HLOOKUP(Intro!$B$7,$B:$I,ROW(A102),FALSE)</f>
        <v>c. Wanneer begin je met aflossen?</v>
      </c>
      <c r="B102" s="137" t="s">
        <v>1021</v>
      </c>
      <c r="C102" s="137" t="s">
        <v>1022</v>
      </c>
      <c r="D102" s="137" t="s">
        <v>1039</v>
      </c>
      <c r="E102" s="137" t="s">
        <v>1040</v>
      </c>
      <c r="F102" s="137"/>
      <c r="G102" s="137"/>
      <c r="H102" s="137"/>
      <c r="I102" s="137"/>
      <c r="J102" s="137"/>
      <c r="K102" s="137"/>
    </row>
    <row r="103" spans="1:11" x14ac:dyDescent="0.2">
      <c r="A103" s="137" t="str">
        <f>HLOOKUP(Intro!$B$7,$B:$I,ROW(A103),FALSE)</f>
        <v xml:space="preserve">Hoeveel geld heb je geleend en/of ga je lenen bij overige financieringsbronnen? </v>
      </c>
      <c r="B103" s="137" t="s">
        <v>1088</v>
      </c>
      <c r="C103" s="137" t="s">
        <v>1089</v>
      </c>
      <c r="D103" s="137" t="s">
        <v>304</v>
      </c>
      <c r="E103" s="137" t="s">
        <v>305</v>
      </c>
    </row>
    <row r="104" spans="1:11" s="138" customFormat="1" x14ac:dyDescent="0.2">
      <c r="A104" s="137" t="str">
        <f>HLOOKUP(Intro!$B$7,$B:$I,ROW(A104),FALSE)</f>
        <v>a. Hoeveel rente betaal je hiervoor per maand?</v>
      </c>
      <c r="B104" s="137" t="s">
        <v>1017</v>
      </c>
      <c r="C104" s="137" t="s">
        <v>1018</v>
      </c>
      <c r="D104" s="137" t="s">
        <v>1035</v>
      </c>
      <c r="E104" s="137" t="s">
        <v>1036</v>
      </c>
      <c r="F104" s="137"/>
      <c r="G104" s="137"/>
      <c r="H104" s="137"/>
      <c r="I104" s="137"/>
      <c r="J104" s="137"/>
      <c r="K104" s="137"/>
    </row>
    <row r="105" spans="1:11" s="138" customFormat="1" x14ac:dyDescent="0.2">
      <c r="A105" s="137" t="str">
        <f>HLOOKUP(Intro!$B$7,$B:$I,ROW(A105),FALSE)</f>
        <v>b. Hoeveel moet je per maand terugbetalen (aflossen)?</v>
      </c>
      <c r="B105" s="137" t="s">
        <v>1019</v>
      </c>
      <c r="C105" s="137" t="s">
        <v>1020</v>
      </c>
      <c r="D105" s="137" t="s">
        <v>1038</v>
      </c>
      <c r="E105" s="137" t="s">
        <v>1037</v>
      </c>
      <c r="F105" s="137"/>
      <c r="G105" s="137"/>
      <c r="H105" s="137"/>
      <c r="I105" s="137"/>
      <c r="J105" s="137"/>
      <c r="K105" s="137"/>
    </row>
    <row r="106" spans="1:11" s="138" customFormat="1" x14ac:dyDescent="0.2">
      <c r="A106" s="137" t="str">
        <f>HLOOKUP(Intro!$B$7,$B:$I,ROW(A106),FALSE)</f>
        <v>c. Wanneer begin je met aflossen?</v>
      </c>
      <c r="B106" s="137" t="s">
        <v>1021</v>
      </c>
      <c r="C106" s="137" t="s">
        <v>1022</v>
      </c>
      <c r="D106" s="137" t="s">
        <v>1039</v>
      </c>
      <c r="E106" s="137" t="s">
        <v>1040</v>
      </c>
      <c r="F106" s="137"/>
      <c r="G106" s="137"/>
      <c r="H106" s="137"/>
      <c r="I106" s="137"/>
      <c r="J106" s="137"/>
      <c r="K106" s="137"/>
    </row>
    <row r="107" spans="1:11" x14ac:dyDescent="0.2">
      <c r="A107" s="137" t="str">
        <f>HLOOKUP(Intro!$B$7,$B:$I,ROW(A107),FALSE)</f>
        <v>Maandelijkse indirecte kosten</v>
      </c>
      <c r="B107" s="137" t="s">
        <v>306</v>
      </c>
      <c r="C107" s="137" t="s">
        <v>307</v>
      </c>
      <c r="D107" s="137" t="s">
        <v>308</v>
      </c>
      <c r="E107" s="137" t="s">
        <v>309</v>
      </c>
      <c r="K107" s="138"/>
    </row>
    <row r="108" spans="1:11" x14ac:dyDescent="0.2">
      <c r="A108" s="137" t="str">
        <f>HLOOKUP(Intro!$B$7,$B:$I,ROW(A108),FALSE)</f>
        <v>Hoe hoog zijn de maandelijkse kosten?</v>
      </c>
      <c r="B108" s="137" t="s">
        <v>310</v>
      </c>
      <c r="C108" s="137" t="s">
        <v>311</v>
      </c>
      <c r="D108" s="137" t="s">
        <v>312</v>
      </c>
      <c r="E108" s="137" t="s">
        <v>313</v>
      </c>
      <c r="K108" s="138"/>
    </row>
    <row r="109" spans="1:11" ht="25.5" x14ac:dyDescent="0.2">
      <c r="A109" s="137" t="str">
        <f>HLOOKUP(Intro!$B$7,$B:$I,ROW(A109),FALSE)</f>
        <v>Personeel (let op: bruto personeelslasten, dus inclusief premies en belastingen)</v>
      </c>
      <c r="B109" s="137" t="s">
        <v>314</v>
      </c>
      <c r="C109" s="137" t="s">
        <v>315</v>
      </c>
      <c r="D109" s="137" t="s">
        <v>316</v>
      </c>
      <c r="E109" s="137" t="s">
        <v>317</v>
      </c>
      <c r="K109" s="138"/>
    </row>
    <row r="110" spans="1:11" s="138" customFormat="1" x14ac:dyDescent="0.2">
      <c r="A110" s="137" t="str">
        <f>HLOOKUP(Intro!$B$7,$B:$I,ROW(A110),FALSE)</f>
        <v xml:space="preserve"> - Vanaf wanneer heb je deze kosten?</v>
      </c>
      <c r="B110" s="137" t="s">
        <v>1023</v>
      </c>
      <c r="C110" s="137" t="s">
        <v>1024</v>
      </c>
      <c r="D110" s="137" t="str">
        <f>IF(VRAGENLIJST!$F$137&gt;0," - ¿A partir de cuando tienes estos gastos?","")</f>
        <v/>
      </c>
      <c r="E110" s="137" t="str">
        <f>IF(VRAGENLIJST!$F$137&gt;0," - Entrante ki tempo bo tin e gastonan aki?","")</f>
        <v/>
      </c>
      <c r="F110" s="137"/>
      <c r="G110" s="137"/>
      <c r="H110" s="137"/>
      <c r="I110" s="137"/>
      <c r="J110" s="137"/>
      <c r="K110" s="137"/>
    </row>
    <row r="111" spans="1:11" x14ac:dyDescent="0.2">
      <c r="A111" s="137" t="str">
        <f>HLOOKUP(Intro!$B$7,$B:$I,ROW(A111),FALSE)</f>
        <v>Huisvesting (huur, schoonmaak, onderhoud)</v>
      </c>
      <c r="B111" s="137" t="s">
        <v>318</v>
      </c>
      <c r="C111" s="137" t="s">
        <v>319</v>
      </c>
      <c r="D111" s="137" t="s">
        <v>320</v>
      </c>
      <c r="E111" s="137" t="s">
        <v>321</v>
      </c>
    </row>
    <row r="112" spans="1:11" s="138" customFormat="1" x14ac:dyDescent="0.2">
      <c r="A112" s="137" t="str">
        <f>HLOOKUP(Intro!$B$7,$B:$I,ROW(A112),FALSE)</f>
        <v xml:space="preserve"> - Vanaf wanneer heb je deze kosten?</v>
      </c>
      <c r="B112" s="137" t="s">
        <v>1023</v>
      </c>
      <c r="C112" s="137" t="s">
        <v>1024</v>
      </c>
      <c r="D112" s="137" t="s">
        <v>1030</v>
      </c>
      <c r="E112" s="137" t="str">
        <f>IF(VRAGENLIJST!$F$141&gt;0," - Entrante ki tempo bo tin e gastonan aki?","")</f>
        <v/>
      </c>
      <c r="F112" s="137"/>
      <c r="G112" s="137"/>
      <c r="H112" s="137"/>
      <c r="I112" s="137"/>
      <c r="J112" s="137"/>
      <c r="K112" s="137"/>
    </row>
    <row r="113" spans="1:11" x14ac:dyDescent="0.2">
      <c r="A113" s="137" t="str">
        <f>HLOOKUP(Intro!$B$7,$B:$I,ROW(A113),FALSE)</f>
        <v>Vervoer/verblijf (brandstof, onderhoud, parkeren, verzekeringen)</v>
      </c>
      <c r="B113" s="137" t="s">
        <v>322</v>
      </c>
      <c r="C113" s="137" t="s">
        <v>323</v>
      </c>
      <c r="D113" s="137" t="s">
        <v>324</v>
      </c>
      <c r="E113" s="137" t="s">
        <v>325</v>
      </c>
    </row>
    <row r="114" spans="1:11" ht="25.5" x14ac:dyDescent="0.2">
      <c r="A114" s="137" t="str">
        <f>HLOOKUP(Intro!$B$7,$B:$I,ROW(A114),FALSE)</f>
        <v>Promotie/reclame (onderhoudskosten website, domeinnaam, Google Ads)</v>
      </c>
      <c r="B114" s="137" t="s">
        <v>1138</v>
      </c>
      <c r="C114" s="137" t="s">
        <v>1139</v>
      </c>
      <c r="D114" s="137" t="s">
        <v>326</v>
      </c>
      <c r="E114" s="137" t="s">
        <v>327</v>
      </c>
    </row>
    <row r="115" spans="1:11" x14ac:dyDescent="0.2">
      <c r="A115" s="137" t="str">
        <f>HLOOKUP(Intro!$B$7,$B:$I,ROW(A115),FALSE)</f>
        <v>Overige bedrijfskosten:</v>
      </c>
      <c r="B115" s="137" t="s">
        <v>328</v>
      </c>
      <c r="C115" s="137" t="s">
        <v>329</v>
      </c>
      <c r="D115" s="137" t="s">
        <v>330</v>
      </c>
      <c r="E115" s="137" t="s">
        <v>331</v>
      </c>
    </row>
    <row r="116" spans="1:11" x14ac:dyDescent="0.2">
      <c r="A116" s="137" t="str">
        <f>HLOOKUP(Intro!$B$7,$B:$I,ROW(A116),FALSE)</f>
        <v>Verzekeringen (aansprakelijkheid, arbeidsongeschiktheid, inboedel)</v>
      </c>
      <c r="B116" s="137" t="s">
        <v>1123</v>
      </c>
      <c r="C116" s="137" t="s">
        <v>1124</v>
      </c>
      <c r="D116" s="137" t="s">
        <v>332</v>
      </c>
      <c r="E116" s="137" t="s">
        <v>333</v>
      </c>
    </row>
    <row r="117" spans="1:11" x14ac:dyDescent="0.2">
      <c r="A117" s="137" t="str">
        <f>HLOOKUP(Intro!$B$7,$B:$I,ROW(A117),FALSE)</f>
        <v>Administratiekosten (accountant, adviseur, boekhoudpakket)</v>
      </c>
      <c r="B117" s="137" t="s">
        <v>1125</v>
      </c>
      <c r="C117" s="137" t="s">
        <v>1126</v>
      </c>
      <c r="D117" s="137" t="s">
        <v>334</v>
      </c>
      <c r="E117" s="137" t="s">
        <v>335</v>
      </c>
    </row>
    <row r="118" spans="1:11" ht="25.5" x14ac:dyDescent="0.2">
      <c r="A118" s="137" t="str">
        <f>HLOOKUP(Intro!$B$7,$B:$I,ROW(A118),FALSE)</f>
        <v>Abonnementen (telefoon, internet, vakbladen, brancheverenigingen, KVK, accountant, adviseur)</v>
      </c>
      <c r="B118" s="137" t="s">
        <v>1142</v>
      </c>
      <c r="C118" s="137" t="s">
        <v>1127</v>
      </c>
      <c r="D118" s="137" t="s">
        <v>336</v>
      </c>
      <c r="E118" s="137" t="s">
        <v>337</v>
      </c>
    </row>
    <row r="119" spans="1:11" x14ac:dyDescent="0.2">
      <c r="A119" s="137" t="str">
        <f>HLOOKUP(Intro!$B$7,$B:$I,ROW(A119),FALSE)</f>
        <v>Kantoorartikelen ((brief-)papier, cartridges, postzegels)</v>
      </c>
      <c r="B119" s="137" t="s">
        <v>1128</v>
      </c>
      <c r="C119" s="137" t="s">
        <v>1129</v>
      </c>
      <c r="D119" s="137" t="s">
        <v>338</v>
      </c>
      <c r="E119" s="137" t="s">
        <v>339</v>
      </c>
    </row>
    <row r="120" spans="1:11" x14ac:dyDescent="0.2">
      <c r="A120" s="137" t="str">
        <f>HLOOKUP(Intro!$B$7,$B:$I,ROW(A120),FALSE)</f>
        <v>Overig</v>
      </c>
      <c r="B120" s="137" t="s">
        <v>1130</v>
      </c>
      <c r="C120" s="137" t="s">
        <v>1131</v>
      </c>
      <c r="D120" s="137" t="s">
        <v>340</v>
      </c>
      <c r="E120" s="137" t="s">
        <v>341</v>
      </c>
    </row>
    <row r="121" spans="1:11" x14ac:dyDescent="0.2">
      <c r="A121" s="137" t="str">
        <f>HLOOKUP(Intro!$B$7,$B:$I,ROW(A121),FALSE)</f>
        <v>Maandelijkse directe kosten</v>
      </c>
      <c r="B121" s="137" t="s">
        <v>342</v>
      </c>
      <c r="C121" s="137" t="s">
        <v>343</v>
      </c>
      <c r="D121" s="137" t="s">
        <v>344</v>
      </c>
      <c r="E121" s="137" t="s">
        <v>345</v>
      </c>
    </row>
    <row r="122" spans="1:11" x14ac:dyDescent="0.2">
      <c r="A122" s="137" t="str">
        <f>HLOOKUP(Intro!$B$7,$B:$I,ROW(A122),FALSE)</f>
        <v>Koop je producten in die je, eventueel na bewerking, weer verkoopt?</v>
      </c>
      <c r="B122" s="137" t="s">
        <v>346</v>
      </c>
      <c r="C122" s="137" t="s">
        <v>347</v>
      </c>
      <c r="D122" s="137" t="s">
        <v>348</v>
      </c>
      <c r="E122" s="137" t="s">
        <v>349</v>
      </c>
    </row>
    <row r="123" spans="1:11" x14ac:dyDescent="0.2">
      <c r="A123" s="137" t="str">
        <f>HLOOKUP(Intro!$B$7,$B:$I,ROW(A123),FALSE)</f>
        <v>Als je meer dan twee producten verkoopt, probeer deze in twee groepen in te delen</v>
      </c>
      <c r="B123" s="137" t="s">
        <v>1133</v>
      </c>
      <c r="C123" s="137" t="s">
        <v>1132</v>
      </c>
    </row>
    <row r="124" spans="1:11" s="138" customFormat="1" x14ac:dyDescent="0.2">
      <c r="A124" s="137" t="str">
        <f>HLOOKUP(Intro!$B$7,$B:$I,ROW(A124),FALSE)</f>
        <v>Hoeveel procent van je omzet betaal je voor de inkoop?</v>
      </c>
      <c r="B124" s="137" t="s">
        <v>1025</v>
      </c>
      <c r="C124" s="137" t="s">
        <v>1026</v>
      </c>
      <c r="D124" s="137" t="str">
        <f>IF(VRAGENLIJST!$F$143="Si","¿Qué porcentaje de tus ingresos pagas por la compra?","")</f>
        <v/>
      </c>
      <c r="E124" s="137" t="str">
        <f>IF(VRAGENLIJST!$F$143="Si","Cuanto percentahe di bo benta bo ta paga pa compra di mercancia?","")</f>
        <v/>
      </c>
      <c r="F124" s="137"/>
      <c r="G124" s="137"/>
      <c r="H124" s="137"/>
      <c r="I124" s="137"/>
      <c r="J124" s="137"/>
      <c r="K124" s="137"/>
    </row>
    <row r="125" spans="1:11" s="138" customFormat="1" x14ac:dyDescent="0.2">
      <c r="A125" s="137" t="str">
        <f>HLOOKUP(Intro!$B$7,$B:$I,ROW(A125),FALSE)</f>
        <v>Welk btw-tarief is van toepassing op de inkoopprijs?</v>
      </c>
      <c r="B125" s="137" t="s">
        <v>1143</v>
      </c>
      <c r="C125" s="137" t="s">
        <v>1027</v>
      </c>
      <c r="D125" s="137" t="str">
        <f>IF(VRAGENLIJST!$F$143="Si","¿Qué tipo de BTW se aplica al precio de compra?","")</f>
        <v/>
      </c>
      <c r="E125" s="137" t="str">
        <f>IF(VRAGENLIJST!$F$143="Si","Cua tarifa di BTW ta aplicabel riba e prijs di compra?","")</f>
        <v/>
      </c>
      <c r="F125" s="137"/>
      <c r="G125" s="137"/>
      <c r="H125" s="137"/>
      <c r="I125" s="137"/>
      <c r="J125" s="137"/>
      <c r="K125" s="137"/>
    </row>
    <row r="126" spans="1:11" s="138" customFormat="1" x14ac:dyDescent="0.2">
      <c r="A126" s="137" t="str">
        <f>HLOOKUP(Intro!$B$7,$B:$I,ROW(A126),FALSE)</f>
        <v>Wanneer moet je je leveranciers betalen (i.v.m. inkoop)?</v>
      </c>
      <c r="B126" s="137" t="s">
        <v>1028</v>
      </c>
      <c r="C126" s="137" t="s">
        <v>1029</v>
      </c>
      <c r="D126" s="137" t="str">
        <f>IF(VRAGENLIJST!$F$143="Si","¿Cuando debes pagar a tus proveedores (relacionado con la compra)?","")</f>
        <v/>
      </c>
      <c r="E126" s="137" t="str">
        <f>IF(VRAGENLIJST!$F$143="Si","Na ki momento bo tin cu paga bo proveedornan (relaciona cu e compra)?","")</f>
        <v/>
      </c>
      <c r="F126" s="137"/>
      <c r="G126" s="137"/>
      <c r="H126" s="137"/>
      <c r="I126" s="137"/>
      <c r="J126" s="137"/>
      <c r="K126" s="137"/>
    </row>
    <row r="127" spans="1:11" x14ac:dyDescent="0.2">
      <c r="A127" s="137" t="str">
        <f>HLOOKUP(Intro!$B$7,$B:$I,ROW(A127),FALSE)</f>
        <v>Inkomsten</v>
      </c>
      <c r="B127" s="137" t="s">
        <v>350</v>
      </c>
      <c r="C127" s="137" t="s">
        <v>351</v>
      </c>
      <c r="D127" s="137" t="s">
        <v>352</v>
      </c>
      <c r="E127" s="137" t="s">
        <v>353</v>
      </c>
    </row>
    <row r="128" spans="1:11" x14ac:dyDescent="0.2">
      <c r="A128" s="137" t="str">
        <f>HLOOKUP(Intro!$B$7,$B:$I,ROW(A128),FALSE)</f>
        <v>Welk btw-tarief is van toepassing op de verkoopprijs?</v>
      </c>
      <c r="B128" s="137" t="s">
        <v>1144</v>
      </c>
      <c r="C128" s="137" t="s">
        <v>354</v>
      </c>
      <c r="D128" s="137" t="s">
        <v>355</v>
      </c>
      <c r="E128" s="137" t="s">
        <v>356</v>
      </c>
    </row>
    <row r="129" spans="1:11" x14ac:dyDescent="0.2">
      <c r="A129" s="137" t="str">
        <f>HLOOKUP(Intro!$B$7,$B:$I,ROW(A129),FALSE)</f>
        <v>Wanneer betalen je klanten in het algemeen?</v>
      </c>
      <c r="B129" s="137" t="s">
        <v>357</v>
      </c>
      <c r="C129" s="137" t="s">
        <v>358</v>
      </c>
      <c r="D129" s="137" t="s">
        <v>359</v>
      </c>
      <c r="E129" s="137" t="s">
        <v>360</v>
      </c>
    </row>
    <row r="130" spans="1:11" x14ac:dyDescent="0.2">
      <c r="A130" s="137" t="str">
        <f>HLOOKUP(Intro!$B$7,$B:$I,ROW(A130),FALSE)</f>
        <v>Omzetprognose</v>
      </c>
      <c r="B130" s="137" t="s">
        <v>361</v>
      </c>
      <c r="C130" s="137" t="s">
        <v>362</v>
      </c>
      <c r="D130" s="137" t="s">
        <v>363</v>
      </c>
      <c r="E130" s="137" t="s">
        <v>364</v>
      </c>
    </row>
    <row r="131" spans="1:11" x14ac:dyDescent="0.2">
      <c r="A131" s="137" t="str">
        <f>HLOOKUP(Intro!$B$7,$B:$I,ROW(A131),FALSE)</f>
        <v>Hoeveel omzet verwacht je per maand te realiseren in het eerste actieve bedrijfsjaar?</v>
      </c>
      <c r="B131" s="137" t="s">
        <v>1091</v>
      </c>
      <c r="C131" s="137" t="s">
        <v>1090</v>
      </c>
      <c r="D131" s="137" t="s">
        <v>365</v>
      </c>
      <c r="E131" s="137" t="s">
        <v>366</v>
      </c>
    </row>
    <row r="132" spans="1:11" x14ac:dyDescent="0.2">
      <c r="A132" s="137" t="str">
        <f>HLOOKUP(Intro!$B$7,$B:$I,ROW(A132),FALSE)</f>
        <v>Maand 1</v>
      </c>
      <c r="B132" s="137" t="s">
        <v>37</v>
      </c>
      <c r="C132" s="137" t="s">
        <v>367</v>
      </c>
      <c r="D132" s="137" t="s">
        <v>368</v>
      </c>
      <c r="E132" s="137" t="s">
        <v>369</v>
      </c>
    </row>
    <row r="133" spans="1:11" x14ac:dyDescent="0.2">
      <c r="A133" s="137" t="str">
        <f>HLOOKUP(Intro!$B$7,$B:$I,ROW(A133),FALSE)</f>
        <v>Maand 2</v>
      </c>
      <c r="B133" s="137" t="s">
        <v>39</v>
      </c>
      <c r="C133" s="137" t="s">
        <v>370</v>
      </c>
      <c r="D133" s="137" t="s">
        <v>371</v>
      </c>
      <c r="E133" s="137" t="s">
        <v>372</v>
      </c>
    </row>
    <row r="134" spans="1:11" x14ac:dyDescent="0.2">
      <c r="A134" s="137" t="str">
        <f>HLOOKUP(Intro!$B$7,$B:$I,ROW(A134),FALSE)</f>
        <v>Maand 3</v>
      </c>
      <c r="B134" s="137" t="s">
        <v>40</v>
      </c>
      <c r="C134" s="137" t="s">
        <v>373</v>
      </c>
      <c r="D134" s="137" t="s">
        <v>374</v>
      </c>
      <c r="E134" s="137" t="s">
        <v>375</v>
      </c>
    </row>
    <row r="135" spans="1:11" x14ac:dyDescent="0.2">
      <c r="A135" s="137" t="str">
        <f>HLOOKUP(Intro!$B$7,$B:$I,ROW(A135),FALSE)</f>
        <v>Maand 4</v>
      </c>
      <c r="B135" s="137" t="s">
        <v>41</v>
      </c>
      <c r="C135" s="137" t="s">
        <v>376</v>
      </c>
      <c r="D135" s="137" t="s">
        <v>377</v>
      </c>
      <c r="E135" s="137" t="s">
        <v>378</v>
      </c>
    </row>
    <row r="136" spans="1:11" x14ac:dyDescent="0.2">
      <c r="A136" s="137" t="str">
        <f>HLOOKUP(Intro!$B$7,$B:$I,ROW(A136),FALSE)</f>
        <v>Maand 5</v>
      </c>
      <c r="B136" s="137" t="s">
        <v>42</v>
      </c>
      <c r="C136" s="137" t="s">
        <v>379</v>
      </c>
      <c r="D136" s="137" t="s">
        <v>380</v>
      </c>
      <c r="E136" s="137" t="s">
        <v>381</v>
      </c>
    </row>
    <row r="137" spans="1:11" x14ac:dyDescent="0.2">
      <c r="A137" s="137" t="str">
        <f>HLOOKUP(Intro!$B$7,$B:$I,ROW(A137),FALSE)</f>
        <v>Maand 6</v>
      </c>
      <c r="B137" s="137" t="s">
        <v>43</v>
      </c>
      <c r="C137" s="137" t="s">
        <v>382</v>
      </c>
      <c r="D137" s="137" t="s">
        <v>383</v>
      </c>
      <c r="E137" s="137" t="s">
        <v>384</v>
      </c>
    </row>
    <row r="138" spans="1:11" x14ac:dyDescent="0.2">
      <c r="A138" s="137" t="str">
        <f>HLOOKUP(Intro!$B$7,$B:$I,ROW(A138),FALSE)</f>
        <v>Maand 7</v>
      </c>
      <c r="B138" s="137" t="s">
        <v>44</v>
      </c>
      <c r="C138" s="137" t="s">
        <v>385</v>
      </c>
      <c r="D138" s="137" t="s">
        <v>386</v>
      </c>
      <c r="E138" s="137" t="s">
        <v>387</v>
      </c>
    </row>
    <row r="139" spans="1:11" x14ac:dyDescent="0.2">
      <c r="A139" s="137" t="str">
        <f>HLOOKUP(Intro!$B$7,$B:$I,ROW(A139),FALSE)</f>
        <v>Maand 8</v>
      </c>
      <c r="B139" s="137" t="s">
        <v>45</v>
      </c>
      <c r="C139" s="137" t="s">
        <v>388</v>
      </c>
      <c r="D139" s="137" t="s">
        <v>389</v>
      </c>
      <c r="E139" s="137" t="s">
        <v>390</v>
      </c>
    </row>
    <row r="140" spans="1:11" x14ac:dyDescent="0.2">
      <c r="A140" s="137" t="str">
        <f>HLOOKUP(Intro!$B$7,$B:$I,ROW(A140),FALSE)</f>
        <v>Maand 9</v>
      </c>
      <c r="B140" s="137" t="s">
        <v>46</v>
      </c>
      <c r="C140" s="137" t="s">
        <v>391</v>
      </c>
      <c r="D140" s="137" t="s">
        <v>392</v>
      </c>
      <c r="E140" s="137" t="s">
        <v>393</v>
      </c>
      <c r="K140" s="138"/>
    </row>
    <row r="141" spans="1:11" x14ac:dyDescent="0.2">
      <c r="A141" s="137" t="str">
        <f>HLOOKUP(Intro!$B$7,$B:$I,ROW(A141),FALSE)</f>
        <v>Maand 10</v>
      </c>
      <c r="B141" s="137" t="s">
        <v>47</v>
      </c>
      <c r="C141" s="137" t="s">
        <v>394</v>
      </c>
      <c r="D141" s="137" t="s">
        <v>395</v>
      </c>
      <c r="E141" s="137" t="s">
        <v>396</v>
      </c>
      <c r="K141" s="138"/>
    </row>
    <row r="142" spans="1:11" x14ac:dyDescent="0.2">
      <c r="A142" s="137" t="str">
        <f>HLOOKUP(Intro!$B$7,$B:$I,ROW(A142),FALSE)</f>
        <v>Maand 11</v>
      </c>
      <c r="B142" s="137" t="s">
        <v>48</v>
      </c>
      <c r="C142" s="137" t="s">
        <v>397</v>
      </c>
      <c r="D142" s="137" t="s">
        <v>398</v>
      </c>
      <c r="E142" s="137" t="s">
        <v>399</v>
      </c>
    </row>
    <row r="143" spans="1:11" x14ac:dyDescent="0.2">
      <c r="A143" s="137" t="str">
        <f>HLOOKUP(Intro!$B$7,$B:$I,ROW(A143),FALSE)</f>
        <v>Maand 12</v>
      </c>
      <c r="B143" s="137" t="s">
        <v>49</v>
      </c>
      <c r="C143" s="137" t="s">
        <v>400</v>
      </c>
      <c r="D143" s="137" t="s">
        <v>401</v>
      </c>
      <c r="E143" s="137" t="s">
        <v>402</v>
      </c>
      <c r="K143" s="138"/>
    </row>
    <row r="144" spans="1:11" x14ac:dyDescent="0.2">
      <c r="A144" s="137" t="str">
        <f>HLOOKUP(Intro!$B$7,$B:$I,ROW(A144),FALSE)</f>
        <v>Privé: aftrekposten Belastingdienst</v>
      </c>
      <c r="B144" s="137" t="s">
        <v>1114</v>
      </c>
      <c r="C144" s="137" t="s">
        <v>1115</v>
      </c>
      <c r="K144" s="138"/>
    </row>
    <row r="145" spans="1:11" ht="25.5" x14ac:dyDescent="0.2">
      <c r="A145" s="137" t="str">
        <f>HLOOKUP(Intro!$B$7,$B:$I,ROW(A145),FALSE)</f>
        <v>Mag je ter vermindering van je belastbaar inkomen de onderstaande aftrekposten opvoeren?</v>
      </c>
      <c r="B145" s="137" t="s">
        <v>403</v>
      </c>
      <c r="C145" s="137" t="s">
        <v>404</v>
      </c>
      <c r="K145" s="138"/>
    </row>
    <row r="146" spans="1:11" x14ac:dyDescent="0.2">
      <c r="A146" s="137" t="str">
        <f>HLOOKUP(Intro!$B$7,$B:$I,ROW(A146),FALSE)</f>
        <v>Zelfstandigenaftrek</v>
      </c>
      <c r="B146" s="137" t="s">
        <v>405</v>
      </c>
      <c r="C146" s="137" t="s">
        <v>405</v>
      </c>
      <c r="K146" s="138"/>
    </row>
    <row r="147" spans="1:11" x14ac:dyDescent="0.2">
      <c r="A147" s="137" t="str">
        <f>HLOOKUP(Intro!$B$7,$B:$I,ROW(A147),FALSE)</f>
        <v>Startersaftrek</v>
      </c>
      <c r="B147" s="137" t="s">
        <v>56</v>
      </c>
      <c r="C147" s="137" t="s">
        <v>56</v>
      </c>
      <c r="K147" s="138"/>
    </row>
    <row r="148" spans="1:11" x14ac:dyDescent="0.2">
      <c r="A148" s="137" t="str">
        <f>HLOOKUP(Intro!$B$7,$B:$I,ROW(A148),FALSE)</f>
        <v>Meewerkaftrek</v>
      </c>
      <c r="B148" s="137" t="s">
        <v>57</v>
      </c>
      <c r="C148" s="137" t="s">
        <v>57</v>
      </c>
      <c r="K148" s="138"/>
    </row>
    <row r="149" spans="1:11" x14ac:dyDescent="0.2">
      <c r="A149" s="137" t="str">
        <f>HLOOKUP(Intro!$B$7,$B:$I,ROW(A149),FALSE)</f>
        <v>MKB-Winstvrijstelling</v>
      </c>
      <c r="B149" s="137" t="s">
        <v>406</v>
      </c>
      <c r="C149" s="137" t="s">
        <v>406</v>
      </c>
      <c r="K149" s="138"/>
    </row>
    <row r="150" spans="1:11" x14ac:dyDescent="0.2">
      <c r="A150" s="137" t="str">
        <f>HLOOKUP(Intro!$B$7,$B:$I,ROW(A150),FALSE)</f>
        <v>Investeringsaftrek</v>
      </c>
      <c r="B150" s="137" t="s">
        <v>407</v>
      </c>
      <c r="C150" s="137" t="s">
        <v>407</v>
      </c>
    </row>
    <row r="151" spans="1:11" x14ac:dyDescent="0.2">
      <c r="A151" s="137" t="str">
        <f>HLOOKUP(Intro!$B$7,$B:$I,ROW(A151),FALSE)</f>
        <v>Oudedagsreserve</v>
      </c>
      <c r="B151" s="137" t="s">
        <v>408</v>
      </c>
      <c r="C151" s="137" t="s">
        <v>408</v>
      </c>
      <c r="K151" s="138"/>
    </row>
    <row r="152" spans="1:11" x14ac:dyDescent="0.2">
      <c r="A152" s="137" t="str">
        <f>HLOOKUP(Intro!$B$7,$B:$I,ROW(A152),FALSE)</f>
        <v>Algemene heffingskorting</v>
      </c>
      <c r="B152" s="137" t="s">
        <v>409</v>
      </c>
      <c r="C152" s="137" t="s">
        <v>409</v>
      </c>
      <c r="K152" s="138"/>
    </row>
    <row r="153" spans="1:11" x14ac:dyDescent="0.2">
      <c r="A153" s="137" t="str">
        <f>HLOOKUP(Intro!$B$7,$B:$I,ROW(A153),FALSE)</f>
        <v>Arbeidskorting</v>
      </c>
      <c r="B153" s="137" t="s">
        <v>410</v>
      </c>
      <c r="C153" s="137" t="s">
        <v>410</v>
      </c>
      <c r="K153" s="138"/>
    </row>
    <row r="154" spans="1:11" s="138" customFormat="1" x14ac:dyDescent="0.2">
      <c r="A154" s="137"/>
      <c r="B154" s="137"/>
      <c r="C154" s="137"/>
      <c r="D154" s="137"/>
      <c r="E154" s="137"/>
      <c r="F154" s="137"/>
      <c r="G154" s="137"/>
      <c r="H154" s="137"/>
      <c r="I154" s="137"/>
      <c r="J154" s="137"/>
      <c r="K154" s="137"/>
    </row>
    <row r="155" spans="1:11" s="138" customFormat="1" ht="15" x14ac:dyDescent="0.25">
      <c r="A155" s="150" t="str">
        <f>HLOOKUP(Intro!$B$7,$B:$I,ROW(A155),FALSE)</f>
        <v>Investering &amp; Financiering</v>
      </c>
      <c r="B155" s="150" t="s">
        <v>417</v>
      </c>
      <c r="C155" s="150" t="s">
        <v>418</v>
      </c>
      <c r="D155" s="150" t="s">
        <v>419</v>
      </c>
      <c r="E155" s="150" t="s">
        <v>420</v>
      </c>
      <c r="F155" s="137"/>
      <c r="G155" s="137"/>
      <c r="H155" s="137"/>
      <c r="I155" s="137"/>
      <c r="J155" s="137"/>
      <c r="K155" s="137"/>
    </row>
    <row r="156" spans="1:11" x14ac:dyDescent="0.2">
      <c r="A156" s="137" t="str">
        <f>HLOOKUP(Intro!$B$7,$B:$I,ROW(A156),FALSE)</f>
        <v xml:space="preserve">Investerings- &amp; Financieringsbegroting </v>
      </c>
      <c r="B156" s="137" t="s">
        <v>421</v>
      </c>
      <c r="C156" s="137" t="s">
        <v>422</v>
      </c>
      <c r="D156" s="137" t="s">
        <v>423</v>
      </c>
      <c r="E156" s="137" t="s">
        <v>424</v>
      </c>
    </row>
    <row r="157" spans="1:11" x14ac:dyDescent="0.2">
      <c r="A157" s="137" t="str">
        <f>HLOOKUP(Intro!$B$7,$B:$I,ROW(A157),FALSE)</f>
        <v>Vaste activa (excl. btw)</v>
      </c>
      <c r="B157" s="137" t="s">
        <v>1145</v>
      </c>
      <c r="C157" s="137" t="s">
        <v>425</v>
      </c>
      <c r="D157" s="137" t="s">
        <v>426</v>
      </c>
      <c r="E157" s="137" t="s">
        <v>427</v>
      </c>
    </row>
    <row r="158" spans="1:11" x14ac:dyDescent="0.2">
      <c r="A158" s="137" t="str">
        <f>HLOOKUP(Intro!$B$7,$B:$I,ROW(A158),FALSE)</f>
        <v>Aankoop onroerend goed</v>
      </c>
      <c r="B158" s="137" t="s">
        <v>248</v>
      </c>
      <c r="C158" s="137" t="s">
        <v>249</v>
      </c>
    </row>
    <row r="159" spans="1:11" x14ac:dyDescent="0.2">
      <c r="A159" s="137" t="str">
        <f>HLOOKUP(Intro!$B$7,$B:$I,ROW(A159),FALSE)</f>
        <v xml:space="preserve">Verbouwing </v>
      </c>
      <c r="B159" s="137" t="s">
        <v>428</v>
      </c>
      <c r="C159" s="137" t="s">
        <v>429</v>
      </c>
      <c r="D159" s="137" t="s">
        <v>430</v>
      </c>
      <c r="E159" s="137" t="s">
        <v>431</v>
      </c>
    </row>
    <row r="160" spans="1:11" x14ac:dyDescent="0.2">
      <c r="A160" s="137" t="str">
        <f>HLOOKUP(Intro!$B$7,$B:$I,ROW(A160),FALSE)</f>
        <v>Inventaris en inrichting</v>
      </c>
      <c r="B160" s="137" t="s">
        <v>432</v>
      </c>
      <c r="C160" s="137" t="s">
        <v>433</v>
      </c>
      <c r="D160" s="137" t="s">
        <v>434</v>
      </c>
      <c r="E160" s="137" t="s">
        <v>435</v>
      </c>
    </row>
    <row r="161" spans="1:5" x14ac:dyDescent="0.2">
      <c r="A161" s="137" t="str">
        <f>HLOOKUP(Intro!$B$7,$B:$I,ROW(A161),FALSE)</f>
        <v>Computer en software</v>
      </c>
      <c r="B161" s="137" t="s">
        <v>436</v>
      </c>
      <c r="C161" s="137" t="s">
        <v>437</v>
      </c>
      <c r="D161" s="137" t="s">
        <v>438</v>
      </c>
      <c r="E161" s="137" t="s">
        <v>439</v>
      </c>
    </row>
    <row r="162" spans="1:5" x14ac:dyDescent="0.2">
      <c r="A162" s="137" t="str">
        <f>HLOOKUP(Intro!$B$7,$B:$I,ROW(A162),FALSE)</f>
        <v>Transportmiddel</v>
      </c>
      <c r="B162" s="137" t="s">
        <v>263</v>
      </c>
      <c r="C162" s="137" t="s">
        <v>1086</v>
      </c>
      <c r="D162" s="137" t="s">
        <v>264</v>
      </c>
      <c r="E162" s="137" t="s">
        <v>440</v>
      </c>
    </row>
    <row r="163" spans="1:5" x14ac:dyDescent="0.2">
      <c r="A163" s="137" t="str">
        <f>HLOOKUP(Intro!$B$7,$B:$I,ROW(A163),FALSE)</f>
        <v>Goodwill/Franchisefee/Huurgarantie</v>
      </c>
      <c r="B163" s="137" t="s">
        <v>441</v>
      </c>
      <c r="C163" s="137" t="s">
        <v>442</v>
      </c>
      <c r="D163" s="137" t="s">
        <v>443</v>
      </c>
      <c r="E163" s="137" t="s">
        <v>444</v>
      </c>
    </row>
    <row r="164" spans="1:5" x14ac:dyDescent="0.2">
      <c r="A164" s="137" t="str">
        <f>HLOOKUP(Intro!$B$7,$B:$I,ROW(A164),FALSE)</f>
        <v>Vlottende activa (excl. btw)</v>
      </c>
      <c r="B164" s="137" t="s">
        <v>1146</v>
      </c>
      <c r="C164" s="137" t="s">
        <v>445</v>
      </c>
      <c r="D164" s="137" t="s">
        <v>446</v>
      </c>
      <c r="E164" s="137" t="s">
        <v>427</v>
      </c>
    </row>
    <row r="165" spans="1:5" x14ac:dyDescent="0.2">
      <c r="A165" s="137" t="str">
        <f>HLOOKUP(Intro!$B$7,$B:$I,ROW(A165),FALSE)</f>
        <v>Startvoorraad</v>
      </c>
      <c r="B165" s="137" t="s">
        <v>447</v>
      </c>
      <c r="C165" s="137" t="s">
        <v>448</v>
      </c>
      <c r="D165" s="137" t="s">
        <v>449</v>
      </c>
      <c r="E165" s="137" t="s">
        <v>450</v>
      </c>
    </row>
    <row r="166" spans="1:5" x14ac:dyDescent="0.2">
      <c r="A166" s="137" t="str">
        <f>HLOOKUP(Intro!$B$7,$B:$I,ROW(A166),FALSE)</f>
        <v>Promotie- en aanloopkosten</v>
      </c>
      <c r="B166" s="137" t="s">
        <v>1191</v>
      </c>
      <c r="C166" s="137" t="s">
        <v>451</v>
      </c>
      <c r="D166" s="137" t="s">
        <v>452</v>
      </c>
      <c r="E166" s="137" t="s">
        <v>453</v>
      </c>
    </row>
    <row r="167" spans="1:5" x14ac:dyDescent="0.2">
      <c r="A167" s="137" t="str">
        <f>HLOOKUP(Intro!$B$7,$B:$I,ROW(A167),FALSE)</f>
        <v>Btw over investeringen</v>
      </c>
      <c r="B167" s="137" t="s">
        <v>1147</v>
      </c>
      <c r="C167" s="137" t="s">
        <v>285</v>
      </c>
      <c r="D167" s="137" t="s">
        <v>286</v>
      </c>
      <c r="E167" s="137" t="s">
        <v>287</v>
      </c>
    </row>
    <row r="168" spans="1:5" x14ac:dyDescent="0.2">
      <c r="A168" s="137" t="str">
        <f>HLOOKUP(Intro!$B$7,$B:$I,ROW(A168),FALSE)</f>
        <v>Kas (reserve)</v>
      </c>
      <c r="B168" s="137" t="s">
        <v>454</v>
      </c>
      <c r="C168" s="137" t="s">
        <v>455</v>
      </c>
      <c r="D168" s="137" t="s">
        <v>456</v>
      </c>
      <c r="E168" s="137" t="s">
        <v>457</v>
      </c>
    </row>
    <row r="169" spans="1:5" x14ac:dyDescent="0.2">
      <c r="A169" s="137" t="str">
        <f>HLOOKUP(Intro!$B$7,$B:$I,ROW(A169),FALSE)</f>
        <v>Totaal investeringsbedrag</v>
      </c>
      <c r="B169" s="137" t="s">
        <v>458</v>
      </c>
      <c r="C169" s="137" t="s">
        <v>459</v>
      </c>
      <c r="D169" s="137" t="s">
        <v>460</v>
      </c>
      <c r="E169" s="137" t="s">
        <v>461</v>
      </c>
    </row>
    <row r="170" spans="1:5" x14ac:dyDescent="0.2">
      <c r="A170" s="137" t="str">
        <f>HLOOKUP(Intro!$B$7,$B:$I,ROW(A170),FALSE)</f>
        <v>In bezit</v>
      </c>
      <c r="B170" s="137" t="s">
        <v>462</v>
      </c>
      <c r="C170" s="137" t="s">
        <v>463</v>
      </c>
      <c r="D170" s="137" t="s">
        <v>464</v>
      </c>
      <c r="E170" s="137" t="s">
        <v>465</v>
      </c>
    </row>
    <row r="171" spans="1:5" x14ac:dyDescent="0.2">
      <c r="A171" s="137" t="str">
        <f>HLOOKUP(Intro!$B$7,$B:$I,ROW(A171),FALSE)</f>
        <v>Investeren</v>
      </c>
      <c r="B171" s="137" t="s">
        <v>466</v>
      </c>
      <c r="C171" s="137" t="s">
        <v>467</v>
      </c>
      <c r="D171" s="137" t="s">
        <v>468</v>
      </c>
      <c r="E171" s="137" t="s">
        <v>469</v>
      </c>
    </row>
    <row r="172" spans="1:5" x14ac:dyDescent="0.2">
      <c r="A172" s="137" t="str">
        <f>HLOOKUP(Intro!$B$7,$B:$I,ROW(A172),FALSE)</f>
        <v>Totaal</v>
      </c>
      <c r="B172" s="137" t="s">
        <v>52</v>
      </c>
      <c r="C172" s="137" t="s">
        <v>470</v>
      </c>
      <c r="D172" s="137" t="s">
        <v>470</v>
      </c>
      <c r="E172" s="137" t="s">
        <v>470</v>
      </c>
    </row>
    <row r="173" spans="1:5" x14ac:dyDescent="0.2">
      <c r="A173" s="137" t="str">
        <f>HLOOKUP(Intro!$B$7,$B:$I,ROW(A173),FALSE)</f>
        <v>Eigen inbreng</v>
      </c>
      <c r="B173" s="137" t="s">
        <v>471</v>
      </c>
      <c r="C173" s="137" t="s">
        <v>472</v>
      </c>
      <c r="D173" s="137" t="s">
        <v>473</v>
      </c>
      <c r="E173" s="137" t="s">
        <v>474</v>
      </c>
    </row>
    <row r="174" spans="1:5" x14ac:dyDescent="0.2">
      <c r="A174" s="137" t="str">
        <f>HLOOKUP(Intro!$B$7,$B:$I,ROW(A174),FALSE)</f>
        <v>Activa in bezit</v>
      </c>
      <c r="B174" s="137" t="s">
        <v>475</v>
      </c>
      <c r="C174" s="137" t="s">
        <v>476</v>
      </c>
      <c r="D174" s="137" t="s">
        <v>477</v>
      </c>
      <c r="E174" s="137" t="s">
        <v>478</v>
      </c>
    </row>
    <row r="175" spans="1:5" x14ac:dyDescent="0.2">
      <c r="A175" s="137" t="str">
        <f>HLOOKUP(Intro!$B$7,$B:$I,ROW(A175),FALSE)</f>
        <v>Contante inbreng (bv. spaargeld)</v>
      </c>
      <c r="B175" s="137" t="s">
        <v>479</v>
      </c>
      <c r="C175" s="137" t="s">
        <v>480</v>
      </c>
      <c r="D175" s="137" t="s">
        <v>481</v>
      </c>
      <c r="E175" s="137" t="s">
        <v>482</v>
      </c>
    </row>
    <row r="176" spans="1:5" x14ac:dyDescent="0.2">
      <c r="A176" s="137" t="str">
        <f>HLOOKUP(Intro!$B$7,$B:$I,ROW(A176),FALSE)</f>
        <v>Achtergestelde leningen (familie/vrienden)</v>
      </c>
      <c r="B176" s="137" t="s">
        <v>483</v>
      </c>
      <c r="C176" s="137" t="s">
        <v>484</v>
      </c>
      <c r="D176" s="137" t="s">
        <v>485</v>
      </c>
      <c r="E176" s="137" t="s">
        <v>486</v>
      </c>
    </row>
    <row r="177" spans="1:5" x14ac:dyDescent="0.2">
      <c r="A177" s="137" t="str">
        <f>HLOOKUP(Intro!$B$7,$B:$I,ROW(A177),FALSE)</f>
        <v>Totaal eigen vermogen</v>
      </c>
      <c r="B177" s="137" t="s">
        <v>487</v>
      </c>
      <c r="C177" s="137" t="s">
        <v>488</v>
      </c>
      <c r="D177" s="137" t="s">
        <v>489</v>
      </c>
      <c r="E177" s="137" t="s">
        <v>490</v>
      </c>
    </row>
    <row r="178" spans="1:5" x14ac:dyDescent="0.2">
      <c r="A178" s="137" t="str">
        <f>HLOOKUP(Intro!$B$7,$B:$I,ROW(A178),FALSE)</f>
        <v>Financiering</v>
      </c>
      <c r="B178" s="137" t="s">
        <v>491</v>
      </c>
      <c r="C178" s="137" t="s">
        <v>293</v>
      </c>
      <c r="D178" s="137" t="s">
        <v>492</v>
      </c>
      <c r="E178" s="137" t="s">
        <v>295</v>
      </c>
    </row>
    <row r="179" spans="1:5" x14ac:dyDescent="0.2">
      <c r="A179" s="137" t="str">
        <f>HLOOKUP(Intro!$B$7,$B:$I,ROW(A179),FALSE)</f>
        <v>Financiering overig</v>
      </c>
      <c r="B179" s="137" t="s">
        <v>493</v>
      </c>
      <c r="C179" s="137" t="s">
        <v>494</v>
      </c>
      <c r="D179" s="137" t="s">
        <v>495</v>
      </c>
      <c r="E179" s="137" t="s">
        <v>496</v>
      </c>
    </row>
    <row r="180" spans="1:5" x14ac:dyDescent="0.2">
      <c r="A180" s="137" t="str">
        <f>HLOOKUP(Intro!$B$7,$B:$I,ROW(A180),FALSE)</f>
        <v>Financiering kredietverstrekker</v>
      </c>
      <c r="B180" s="137" t="s">
        <v>497</v>
      </c>
      <c r="C180" s="137" t="s">
        <v>498</v>
      </c>
      <c r="D180" s="137" t="s">
        <v>499</v>
      </c>
      <c r="E180" s="137" t="s">
        <v>500</v>
      </c>
    </row>
    <row r="181" spans="1:5" x14ac:dyDescent="0.2">
      <c r="A181" s="137" t="str">
        <f>HLOOKUP(Intro!$B$7,$B:$I,ROW(A181),FALSE)</f>
        <v>Totaal vreemd vermogen</v>
      </c>
      <c r="B181" s="137" t="s">
        <v>501</v>
      </c>
      <c r="C181" s="137" t="s">
        <v>502</v>
      </c>
      <c r="D181" s="137" t="s">
        <v>503</v>
      </c>
      <c r="E181" s="137" t="s">
        <v>504</v>
      </c>
    </row>
    <row r="182" spans="1:5" x14ac:dyDescent="0.2">
      <c r="A182" s="137" t="str">
        <f>HLOOKUP(Intro!$B$7,$B:$I,ROW(A182),FALSE)</f>
        <v>Totaal</v>
      </c>
      <c r="B182" s="137" t="s">
        <v>52</v>
      </c>
      <c r="C182" s="137" t="s">
        <v>470</v>
      </c>
      <c r="D182" s="137" t="s">
        <v>470</v>
      </c>
      <c r="E182" s="137" t="s">
        <v>470</v>
      </c>
    </row>
    <row r="183" spans="1:5" x14ac:dyDescent="0.2">
      <c r="A183" s="137" t="str">
        <f>HLOOKUP(Intro!$B$7,$B:$I,ROW(A183),FALSE)</f>
        <v>Lening Qredits</v>
      </c>
      <c r="B183" s="137" t="s">
        <v>505</v>
      </c>
      <c r="C183" s="137" t="s">
        <v>506</v>
      </c>
      <c r="D183" s="137" t="s">
        <v>507</v>
      </c>
      <c r="E183" s="137" t="s">
        <v>508</v>
      </c>
    </row>
    <row r="184" spans="1:5" x14ac:dyDescent="0.2">
      <c r="A184" s="137" t="str">
        <f>HLOOKUP(Intro!$B$7,$B:$I,ROW(A184),FALSE)</f>
        <v>Vul in in hoeveel jaar je de lening wilt terugbetalen:</v>
      </c>
      <c r="B184" s="137" t="s">
        <v>509</v>
      </c>
      <c r="C184" s="137" t="s">
        <v>510</v>
      </c>
      <c r="D184" s="137" t="s">
        <v>511</v>
      </c>
      <c r="E184" s="137" t="s">
        <v>512</v>
      </c>
    </row>
    <row r="185" spans="1:5" x14ac:dyDescent="0.2">
      <c r="A185" s="137" t="str">
        <f>HLOOKUP(Intro!$B$7,$B:$I,ROW(A185),FALSE)</f>
        <v>Vul in na hoeveel maanden je wilt beginnen met aflossen?</v>
      </c>
      <c r="B185" s="137" t="s">
        <v>513</v>
      </c>
      <c r="C185" s="137" t="s">
        <v>514</v>
      </c>
      <c r="D185" s="137" t="s">
        <v>515</v>
      </c>
      <c r="E185" s="137" t="s">
        <v>516</v>
      </c>
    </row>
    <row r="186" spans="1:5" x14ac:dyDescent="0.2">
      <c r="A186" s="137" t="str">
        <f>HLOOKUP(Intro!$B$7,$B:$I,ROW(A186),FALSE)</f>
        <v>Kies de manier van aflossen:</v>
      </c>
      <c r="B186" s="137" t="s">
        <v>517</v>
      </c>
      <c r="C186" s="137" t="s">
        <v>518</v>
      </c>
    </row>
    <row r="187" spans="1:5" x14ac:dyDescent="0.2">
      <c r="A187" s="137" t="str">
        <f>HLOOKUP(Intro!$B$7,$B:$I,ROW(A187),FALSE)</f>
        <v>Selecteer:</v>
      </c>
      <c r="B187" s="137" t="s">
        <v>51</v>
      </c>
      <c r="C187" s="137" t="s">
        <v>519</v>
      </c>
      <c r="D187" s="137" t="s">
        <v>520</v>
      </c>
      <c r="E187" s="137" t="s">
        <v>412</v>
      </c>
    </row>
    <row r="188" spans="1:5" x14ac:dyDescent="0.2">
      <c r="A188" s="137" t="str">
        <f>HLOOKUP(Intro!$B$7,$B:$I,ROW(A188),FALSE)</f>
        <v xml:space="preserve">  jaren</v>
      </c>
      <c r="B188" s="137" t="s">
        <v>521</v>
      </c>
      <c r="C188" s="137" t="s">
        <v>522</v>
      </c>
      <c r="D188" s="137" t="s">
        <v>523</v>
      </c>
      <c r="E188" s="137" t="s">
        <v>524</v>
      </c>
    </row>
    <row r="189" spans="1:5" x14ac:dyDescent="0.2">
      <c r="A189" s="137" t="str">
        <f>HLOOKUP(Intro!$B$7,$B:$I,ROW(A189),FALSE)</f>
        <v xml:space="preserve">  maanden</v>
      </c>
      <c r="B189" s="137" t="s">
        <v>525</v>
      </c>
      <c r="C189" s="137" t="s">
        <v>526</v>
      </c>
      <c r="D189" s="137" t="s">
        <v>527</v>
      </c>
      <c r="E189" s="137" t="s">
        <v>528</v>
      </c>
    </row>
    <row r="190" spans="1:5" x14ac:dyDescent="0.2">
      <c r="A190" s="137" t="str">
        <f>HLOOKUP(Intro!$B$7,$B:$I,ROW(A190),FALSE)</f>
        <v>vast bedrag voor rente en aflossing</v>
      </c>
      <c r="B190" s="137" t="s">
        <v>1041</v>
      </c>
      <c r="C190" s="137" t="s">
        <v>1042</v>
      </c>
    </row>
    <row r="191" spans="1:5" x14ac:dyDescent="0.2">
      <c r="A191" s="137" t="str">
        <f>HLOOKUP(Intro!$B$7,$B:$I,ROW(A191),FALSE)</f>
        <v>vast bedrag voor aflossing</v>
      </c>
      <c r="B191" s="137" t="s">
        <v>1043</v>
      </c>
      <c r="C191" s="137" t="s">
        <v>1044</v>
      </c>
    </row>
    <row r="192" spans="1:5" x14ac:dyDescent="0.2">
      <c r="A192" s="137" t="str">
        <f>HLOOKUP(Intro!$B$7,$B:$I,ROW(A192),FALSE)</f>
        <v>Voorwaarden (indicatie)</v>
      </c>
      <c r="B192" s="137" t="s">
        <v>529</v>
      </c>
      <c r="C192" s="137" t="s">
        <v>530</v>
      </c>
      <c r="D192" s="137" t="s">
        <v>531</v>
      </c>
      <c r="E192" s="137" t="s">
        <v>532</v>
      </c>
    </row>
    <row r="193" spans="1:5" x14ac:dyDescent="0.2">
      <c r="A193" s="137" t="str">
        <f>HLOOKUP(Intro!$B$7,$B:$I,ROW(A193),FALSE)</f>
        <v>Rentepercentage²</v>
      </c>
      <c r="B193" s="137" t="s">
        <v>533</v>
      </c>
      <c r="C193" s="137" t="s">
        <v>534</v>
      </c>
      <c r="D193" s="137" t="s">
        <v>535</v>
      </c>
      <c r="E193" s="137" t="s">
        <v>536</v>
      </c>
    </row>
    <row r="194" spans="1:5" x14ac:dyDescent="0.2">
      <c r="A194" s="137" t="str">
        <f>HLOOKUP(Intro!$B$7,$B:$I,ROW(A194),FALSE)</f>
        <v>Behandelkosten</v>
      </c>
      <c r="B194" s="137" t="s">
        <v>537</v>
      </c>
      <c r="C194" s="137" t="s">
        <v>538</v>
      </c>
      <c r="D194" s="137" t="s">
        <v>539</v>
      </c>
      <c r="E194" s="137" t="s">
        <v>540</v>
      </c>
    </row>
    <row r="195" spans="1:5" x14ac:dyDescent="0.2">
      <c r="A195" s="137" t="str">
        <f>HLOOKUP(Intro!$B$7,$B:$I,ROW(A195),FALSE)</f>
        <v>Effectieve rente²</v>
      </c>
      <c r="B195" s="137" t="s">
        <v>541</v>
      </c>
      <c r="C195" s="137" t="s">
        <v>542</v>
      </c>
      <c r="D195" s="137" t="s">
        <v>543</v>
      </c>
      <c r="E195" s="137" t="s">
        <v>544</v>
      </c>
    </row>
    <row r="196" spans="1:5" x14ac:dyDescent="0.2">
      <c r="A196" s="137" t="str">
        <f>HLOOKUP(Intro!$B$7,$B:$I,ROW(A196),FALSE)</f>
        <v>Maandlasten³</v>
      </c>
      <c r="B196" s="137" t="s">
        <v>545</v>
      </c>
      <c r="C196" s="137" t="s">
        <v>546</v>
      </c>
      <c r="D196" s="137" t="s">
        <v>547</v>
      </c>
      <c r="E196" s="137" t="s">
        <v>548</v>
      </c>
    </row>
    <row r="197" spans="1:5" x14ac:dyDescent="0.2">
      <c r="A197" s="137" t="str">
        <f>HLOOKUP(Intro!$B$7,$B:$I,ROW(A197),FALSE)</f>
        <v>Bedrag annuïteit</v>
      </c>
      <c r="B197" s="137" t="s">
        <v>549</v>
      </c>
      <c r="C197" s="137" t="s">
        <v>550</v>
      </c>
      <c r="D197" s="137" t="s">
        <v>551</v>
      </c>
      <c r="E197" s="137" t="s">
        <v>552</v>
      </c>
    </row>
    <row r="198" spans="1:5" x14ac:dyDescent="0.2">
      <c r="A198" s="137" t="str">
        <f>HLOOKUP(Intro!$B$7,$B:$I,ROW(A198),FALSE)</f>
        <v>² Onder voorbehoud van wijzigingen, kijk voor meer informatie op www.qredits.nl</v>
      </c>
      <c r="B198" s="137" t="s">
        <v>553</v>
      </c>
      <c r="C198" s="137" t="s">
        <v>554</v>
      </c>
      <c r="D198" s="137" t="s">
        <v>555</v>
      </c>
      <c r="E198" s="137" t="s">
        <v>556</v>
      </c>
    </row>
    <row r="199" spans="1:5" x14ac:dyDescent="0.2">
      <c r="A199" s="137" t="str">
        <f>HLOOKUP(Intro!$B$7,$B:$I,ROW(A199),FALSE)</f>
        <v>³ Specificatie in 'Qredits maandlasten'</v>
      </c>
      <c r="B199" s="137" t="s">
        <v>557</v>
      </c>
      <c r="C199" s="137" t="s">
        <v>558</v>
      </c>
      <c r="D199" s="137" t="s">
        <v>559</v>
      </c>
      <c r="E199" s="137" t="s">
        <v>560</v>
      </c>
    </row>
    <row r="200" spans="1:5" x14ac:dyDescent="0.2">
      <c r="A200" s="137" t="str">
        <f>HLOOKUP(Intro!$B$7,$B:$I,ROW(A200),FALSE)</f>
        <v>Wat is dit?</v>
      </c>
      <c r="B200" s="137" t="s">
        <v>1161</v>
      </c>
      <c r="C200" s="137" t="s">
        <v>561</v>
      </c>
      <c r="D200" s="137" t="s">
        <v>562</v>
      </c>
      <c r="E200" s="137" t="s">
        <v>563</v>
      </c>
    </row>
    <row r="201" spans="1:5" x14ac:dyDescent="0.2">
      <c r="A201" s="137" t="str">
        <f>HLOOKUP(Intro!$B$7,$B:$I,ROW(A201),FALSE)</f>
        <v>Klik hier om VRAGENLIJST in te vullen</v>
      </c>
      <c r="B201" s="137" t="s">
        <v>55</v>
      </c>
      <c r="C201" s="137" t="s">
        <v>1117</v>
      </c>
      <c r="D201" s="137" t="s">
        <v>565</v>
      </c>
      <c r="E201" s="139" t="s">
        <v>55</v>
      </c>
    </row>
    <row r="202" spans="1:5" x14ac:dyDescent="0.2">
      <c r="E202" s="139"/>
    </row>
    <row r="203" spans="1:5" ht="15" x14ac:dyDescent="0.25">
      <c r="A203" s="150" t="str">
        <f>HLOOKUP(Intro!$B$7,$B:$I,ROW(A203),FALSE)</f>
        <v>Liquiditeit</v>
      </c>
      <c r="B203" s="150" t="s">
        <v>566</v>
      </c>
      <c r="C203" s="150" t="s">
        <v>567</v>
      </c>
      <c r="D203" s="150" t="s">
        <v>568</v>
      </c>
      <c r="E203" s="150" t="s">
        <v>569</v>
      </c>
    </row>
    <row r="204" spans="1:5" x14ac:dyDescent="0.2">
      <c r="A204" s="137" t="str">
        <f>HLOOKUP(Intro!$B$7,$B:$I,ROW(A204),FALSE)</f>
        <v>Liquiditeitsbegroting</v>
      </c>
      <c r="B204" s="137" t="s">
        <v>570</v>
      </c>
      <c r="C204" s="137" t="s">
        <v>571</v>
      </c>
      <c r="D204" s="137" t="s">
        <v>572</v>
      </c>
      <c r="E204" s="137" t="s">
        <v>573</v>
      </c>
    </row>
    <row r="205" spans="1:5" x14ac:dyDescent="0.2">
      <c r="A205" s="137" t="str">
        <f>HLOOKUP(Intro!$B$7,$B:$I,ROW(A205),FALSE)</f>
        <v>Maand</v>
      </c>
      <c r="B205" s="137" t="s">
        <v>574</v>
      </c>
      <c r="C205" s="137" t="s">
        <v>575</v>
      </c>
      <c r="D205" s="137" t="s">
        <v>576</v>
      </c>
      <c r="E205" s="137" t="s">
        <v>577</v>
      </c>
    </row>
    <row r="206" spans="1:5" x14ac:dyDescent="0.2">
      <c r="A206" s="137" t="str">
        <f>HLOOKUP(Intro!$B$7,$B:$I,ROW(A206),FALSE)</f>
        <v>Opening kas/bank</v>
      </c>
      <c r="B206" s="137" t="s">
        <v>578</v>
      </c>
      <c r="C206" s="137" t="s">
        <v>579</v>
      </c>
      <c r="D206" s="137" t="s">
        <v>580</v>
      </c>
      <c r="E206" s="137" t="s">
        <v>581</v>
      </c>
    </row>
    <row r="207" spans="1:5" x14ac:dyDescent="0.2">
      <c r="A207" s="137" t="str">
        <f>HLOOKUP(Intro!$B$7,$B:$I,ROW(A207),FALSE)</f>
        <v>Ontvangsten</v>
      </c>
      <c r="B207" s="137" t="s">
        <v>582</v>
      </c>
      <c r="C207" s="137" t="s">
        <v>583</v>
      </c>
      <c r="D207" s="137" t="s">
        <v>352</v>
      </c>
      <c r="E207" s="137" t="s">
        <v>353</v>
      </c>
    </row>
    <row r="208" spans="1:5" x14ac:dyDescent="0.2">
      <c r="A208" s="137" t="str">
        <f>HLOOKUP(Intro!$B$7,$B:$I,ROW(A208),FALSE)</f>
        <v xml:space="preserve"> Lening Qredits</v>
      </c>
      <c r="B208" s="137" t="s">
        <v>584</v>
      </c>
      <c r="C208" s="137" t="s">
        <v>585</v>
      </c>
      <c r="D208" s="137" t="s">
        <v>586</v>
      </c>
      <c r="E208" s="137" t="s">
        <v>587</v>
      </c>
    </row>
    <row r="209" spans="1:5" x14ac:dyDescent="0.2">
      <c r="A209" s="137" t="str">
        <f>HLOOKUP(Intro!$B$7,$B:$I,ROW(A209),FALSE)</f>
        <v xml:space="preserve"> Eigen inbreng in contant</v>
      </c>
      <c r="B209" s="137" t="s">
        <v>588</v>
      </c>
      <c r="C209" s="137" t="s">
        <v>589</v>
      </c>
      <c r="D209" s="137" t="s">
        <v>590</v>
      </c>
      <c r="E209" s="137" t="s">
        <v>591</v>
      </c>
    </row>
    <row r="210" spans="1:5" x14ac:dyDescent="0.2">
      <c r="A210" s="137" t="str">
        <f>HLOOKUP(Intro!$B$7,$B:$I,ROW(A210),FALSE)</f>
        <v xml:space="preserve"> Overige lening(en)</v>
      </c>
      <c r="B210" s="137" t="s">
        <v>592</v>
      </c>
      <c r="C210" s="137" t="s">
        <v>593</v>
      </c>
      <c r="D210" s="137" t="s">
        <v>594</v>
      </c>
      <c r="E210" s="137" t="s">
        <v>595</v>
      </c>
    </row>
    <row r="211" spans="1:5" x14ac:dyDescent="0.2">
      <c r="A211" s="137" t="str">
        <f>HLOOKUP(Intro!$B$7,$B:$I,ROW(A211),FALSE)</f>
        <v xml:space="preserve"> Omzet product 1 (excl. btw)</v>
      </c>
      <c r="B211" s="137" t="s">
        <v>1150</v>
      </c>
      <c r="C211" s="137" t="s">
        <v>596</v>
      </c>
      <c r="D211" s="137" t="s">
        <v>597</v>
      </c>
      <c r="E211" s="137" t="s">
        <v>598</v>
      </c>
    </row>
    <row r="212" spans="1:5" x14ac:dyDescent="0.2">
      <c r="A212" s="137" t="str">
        <f>HLOOKUP(Intro!$B$7,$B:$I,ROW(A212),FALSE)</f>
        <v xml:space="preserve"> Omzet product 2 (excl. btw)</v>
      </c>
      <c r="B212" s="137" t="s">
        <v>1151</v>
      </c>
      <c r="C212" s="137" t="s">
        <v>599</v>
      </c>
      <c r="D212" s="137" t="s">
        <v>597</v>
      </c>
      <c r="E212" s="137" t="s">
        <v>598</v>
      </c>
    </row>
    <row r="213" spans="1:5" x14ac:dyDescent="0.2">
      <c r="A213" s="137" t="str">
        <f>HLOOKUP(Intro!$B$7,$B:$I,ROW(A213),FALSE)</f>
        <v xml:space="preserve"> Btw</v>
      </c>
      <c r="B213" s="137" t="s">
        <v>1148</v>
      </c>
      <c r="C213" s="137" t="s">
        <v>600</v>
      </c>
      <c r="D213" s="137" t="s">
        <v>601</v>
      </c>
      <c r="E213" s="137" t="s">
        <v>600</v>
      </c>
    </row>
    <row r="214" spans="1:5" x14ac:dyDescent="0.2">
      <c r="A214" s="137" t="str">
        <f>HLOOKUP(Intro!$B$7,$B:$I,ROW(A214),FALSE)</f>
        <v xml:space="preserve"> Omzet incl. btw</v>
      </c>
      <c r="B214" s="137" t="s">
        <v>1149</v>
      </c>
      <c r="C214" s="137" t="s">
        <v>602</v>
      </c>
      <c r="D214" s="137" t="s">
        <v>603</v>
      </c>
      <c r="E214" s="137" t="s">
        <v>604</v>
      </c>
    </row>
    <row r="215" spans="1:5" x14ac:dyDescent="0.2">
      <c r="A215" s="137" t="str">
        <f>HLOOKUP(Intro!$B$7,$B:$I,ROW(A215),FALSE)</f>
        <v>Totale ontvangsten</v>
      </c>
      <c r="B215" s="137" t="s">
        <v>605</v>
      </c>
      <c r="C215" s="137" t="s">
        <v>606</v>
      </c>
      <c r="D215" s="137" t="s">
        <v>607</v>
      </c>
      <c r="E215" s="137" t="s">
        <v>608</v>
      </c>
    </row>
    <row r="216" spans="1:5" x14ac:dyDescent="0.2">
      <c r="A216" s="137" t="str">
        <f>HLOOKUP(Intro!$B$7,$B:$I,ROW(A216),FALSE)</f>
        <v>Uitgaven</v>
      </c>
      <c r="B216" s="137" t="s">
        <v>609</v>
      </c>
      <c r="C216" s="137" t="s">
        <v>610</v>
      </c>
      <c r="D216" s="137" t="s">
        <v>611</v>
      </c>
      <c r="E216" s="137" t="s">
        <v>612</v>
      </c>
    </row>
    <row r="217" spans="1:5" x14ac:dyDescent="0.2">
      <c r="A217" s="137" t="str">
        <f>HLOOKUP(Intro!$B$7,$B:$I,ROW(A217),FALSE)</f>
        <v xml:space="preserve"> Investering</v>
      </c>
      <c r="B217" s="137" t="s">
        <v>613</v>
      </c>
      <c r="C217" s="137" t="s">
        <v>614</v>
      </c>
      <c r="D217" s="137" t="s">
        <v>615</v>
      </c>
      <c r="E217" s="137" t="s">
        <v>616</v>
      </c>
    </row>
    <row r="218" spans="1:5" x14ac:dyDescent="0.2">
      <c r="A218" s="137" t="str">
        <f>HLOOKUP(Intro!$B$7,$B:$I,ROW(A218),FALSE)</f>
        <v xml:space="preserve"> Inkoop product 1</v>
      </c>
      <c r="B218" s="137" t="s">
        <v>617</v>
      </c>
      <c r="C218" s="137" t="s">
        <v>618</v>
      </c>
      <c r="D218" s="137" t="s">
        <v>619</v>
      </c>
      <c r="E218" s="137" t="s">
        <v>619</v>
      </c>
    </row>
    <row r="219" spans="1:5" x14ac:dyDescent="0.2">
      <c r="A219" s="137" t="str">
        <f>HLOOKUP(Intro!$B$7,$B:$I,ROW(A219),FALSE)</f>
        <v xml:space="preserve"> Inkoop product 2</v>
      </c>
      <c r="B219" s="137" t="s">
        <v>620</v>
      </c>
      <c r="C219" s="137" t="s">
        <v>621</v>
      </c>
      <c r="D219" s="137" t="s">
        <v>619</v>
      </c>
      <c r="E219" s="137" t="s">
        <v>619</v>
      </c>
    </row>
    <row r="220" spans="1:5" x14ac:dyDescent="0.2">
      <c r="A220" s="137" t="str">
        <f>HLOOKUP(Intro!$B$7,$B:$I,ROW(A220),FALSE)</f>
        <v xml:space="preserve"> Btw inkoop</v>
      </c>
      <c r="B220" s="137" t="s">
        <v>1152</v>
      </c>
      <c r="C220" s="137" t="s">
        <v>622</v>
      </c>
      <c r="D220" s="137" t="s">
        <v>619</v>
      </c>
      <c r="E220" s="137" t="s">
        <v>619</v>
      </c>
    </row>
    <row r="221" spans="1:5" x14ac:dyDescent="0.2">
      <c r="A221" s="137" t="str">
        <f>HLOOKUP(Intro!$B$7,$B:$I,ROW(A221),FALSE)</f>
        <v xml:space="preserve"> Personeelskosten</v>
      </c>
      <c r="B221" s="137" t="s">
        <v>623</v>
      </c>
      <c r="C221" s="137" t="s">
        <v>624</v>
      </c>
      <c r="D221" s="137" t="s">
        <v>625</v>
      </c>
      <c r="E221" s="137" t="s">
        <v>626</v>
      </c>
    </row>
    <row r="222" spans="1:5" x14ac:dyDescent="0.2">
      <c r="A222" s="137" t="str">
        <f>HLOOKUP(Intro!$B$7,$B:$I,ROW(A222),FALSE)</f>
        <v xml:space="preserve"> Huisvestingskosten</v>
      </c>
      <c r="B222" s="137" t="s">
        <v>627</v>
      </c>
      <c r="C222" s="137" t="s">
        <v>628</v>
      </c>
      <c r="D222" s="137" t="s">
        <v>629</v>
      </c>
      <c r="E222" s="137" t="s">
        <v>630</v>
      </c>
    </row>
    <row r="223" spans="1:5" x14ac:dyDescent="0.2">
      <c r="A223" s="137" t="str">
        <f>HLOOKUP(Intro!$B$7,$B:$I,ROW(A223),FALSE)</f>
        <v xml:space="preserve"> Vervoer/transportkosten</v>
      </c>
      <c r="B223" s="137" t="s">
        <v>631</v>
      </c>
      <c r="C223" s="137" t="s">
        <v>632</v>
      </c>
      <c r="D223" s="137" t="s">
        <v>633</v>
      </c>
      <c r="E223" s="137" t="s">
        <v>634</v>
      </c>
    </row>
    <row r="224" spans="1:5" x14ac:dyDescent="0.2">
      <c r="A224" s="137" t="str">
        <f>HLOOKUP(Intro!$B$7,$B:$I,ROW(A224),FALSE)</f>
        <v xml:space="preserve"> Promotiekosten</v>
      </c>
      <c r="B224" s="137" t="s">
        <v>635</v>
      </c>
      <c r="C224" s="137" t="s">
        <v>636</v>
      </c>
      <c r="D224" s="137" t="s">
        <v>637</v>
      </c>
      <c r="E224" s="137" t="s">
        <v>638</v>
      </c>
    </row>
    <row r="225" spans="1:5" x14ac:dyDescent="0.2">
      <c r="A225" s="137" t="str">
        <f>HLOOKUP(Intro!$B$7,$B:$I,ROW(A225),FALSE)</f>
        <v xml:space="preserve"> Overige bedrijfskosten</v>
      </c>
      <c r="B225" s="137" t="s">
        <v>639</v>
      </c>
      <c r="C225" s="137" t="s">
        <v>640</v>
      </c>
      <c r="D225" s="137" t="s">
        <v>641</v>
      </c>
      <c r="E225" s="137" t="s">
        <v>642</v>
      </c>
    </row>
    <row r="226" spans="1:5" x14ac:dyDescent="0.2">
      <c r="A226" s="137" t="str">
        <f>HLOOKUP(Intro!$B$7,$B:$I,ROW(A226),FALSE)</f>
        <v xml:space="preserve"> Btw investeringen/kosten</v>
      </c>
      <c r="B226" s="137" t="s">
        <v>1153</v>
      </c>
      <c r="C226" s="137" t="s">
        <v>643</v>
      </c>
      <c r="D226" s="137" t="s">
        <v>644</v>
      </c>
      <c r="E226" s="137" t="s">
        <v>645</v>
      </c>
    </row>
    <row r="227" spans="1:5" x14ac:dyDescent="0.2">
      <c r="A227" s="137" t="str">
        <f>HLOOKUP(Intro!$B$7,$B:$I,ROW(A227),FALSE)</f>
        <v xml:space="preserve"> Btw-afdracht</v>
      </c>
      <c r="B227" s="137" t="s">
        <v>1154</v>
      </c>
      <c r="C227" s="137" t="s">
        <v>646</v>
      </c>
      <c r="D227" s="137" t="s">
        <v>647</v>
      </c>
      <c r="E227" s="137" t="s">
        <v>648</v>
      </c>
    </row>
    <row r="228" spans="1:5" x14ac:dyDescent="0.2">
      <c r="A228" s="137" t="str">
        <f>HLOOKUP(Intro!$B$7,$B:$I,ROW(A228),FALSE)</f>
        <v xml:space="preserve"> Rente (excl. Qredits)</v>
      </c>
      <c r="B228" s="137" t="s">
        <v>649</v>
      </c>
      <c r="C228" s="137" t="s">
        <v>650</v>
      </c>
      <c r="D228" s="137" t="s">
        <v>651</v>
      </c>
      <c r="E228" s="137" t="s">
        <v>652</v>
      </c>
    </row>
    <row r="229" spans="1:5" x14ac:dyDescent="0.2">
      <c r="A229" s="137" t="str">
        <f>HLOOKUP(Intro!$B$7,$B:$I,ROW(A229),FALSE)</f>
        <v xml:space="preserve"> Aflossing (excl. Qredits)</v>
      </c>
      <c r="B229" s="137" t="s">
        <v>653</v>
      </c>
      <c r="C229" s="137" t="s">
        <v>654</v>
      </c>
      <c r="D229" s="137" t="s">
        <v>655</v>
      </c>
      <c r="E229" s="137" t="s">
        <v>656</v>
      </c>
    </row>
    <row r="230" spans="1:5" x14ac:dyDescent="0.2">
      <c r="A230" s="137" t="str">
        <f>HLOOKUP(Intro!$B$7,$B:$I,ROW(A230),FALSE)</f>
        <v xml:space="preserve"> Rente Qredits</v>
      </c>
      <c r="B230" s="137" t="s">
        <v>657</v>
      </c>
      <c r="C230" s="137" t="s">
        <v>658</v>
      </c>
      <c r="D230" s="137" t="s">
        <v>659</v>
      </c>
      <c r="E230" s="137" t="s">
        <v>660</v>
      </c>
    </row>
    <row r="231" spans="1:5" x14ac:dyDescent="0.2">
      <c r="A231" s="137" t="str">
        <f>HLOOKUP(Intro!$B$7,$B:$I,ROW(A231),FALSE)</f>
        <v xml:space="preserve"> Aflossingen Qredits</v>
      </c>
      <c r="B231" s="137" t="s">
        <v>661</v>
      </c>
      <c r="C231" s="137" t="s">
        <v>662</v>
      </c>
      <c r="D231" s="137" t="s">
        <v>663</v>
      </c>
      <c r="E231" s="137" t="s">
        <v>664</v>
      </c>
    </row>
    <row r="232" spans="1:5" x14ac:dyDescent="0.2">
      <c r="A232" s="137" t="str">
        <f>HLOOKUP(Intro!$B$7,$B:$I,ROW(A232),FALSE)</f>
        <v xml:space="preserve"> Vennootschapsbelasting</v>
      </c>
      <c r="B232" s="137" t="s">
        <v>1045</v>
      </c>
      <c r="C232" s="137" t="s">
        <v>1046</v>
      </c>
      <c r="E232" s="137" t="s">
        <v>665</v>
      </c>
    </row>
    <row r="233" spans="1:5" x14ac:dyDescent="0.2">
      <c r="A233" s="137" t="str">
        <f>HLOOKUP(Intro!$B$7,$B:$I,ROW(A233),FALSE)</f>
        <v xml:space="preserve"> Afdracht inkomstenbelasting</v>
      </c>
      <c r="B233" s="137" t="s">
        <v>1192</v>
      </c>
      <c r="C233" s="137" t="s">
        <v>1047</v>
      </c>
      <c r="E233" s="137" t="s">
        <v>665</v>
      </c>
    </row>
    <row r="234" spans="1:5" x14ac:dyDescent="0.2">
      <c r="A234" s="137" t="str">
        <f>HLOOKUP(Intro!$B$7,$B:$I,ROW(A234),FALSE)</f>
        <v xml:space="preserve"> Salaris directie</v>
      </c>
      <c r="B234" s="137" t="s">
        <v>1048</v>
      </c>
      <c r="C234" s="137" t="s">
        <v>1049</v>
      </c>
    </row>
    <row r="235" spans="1:5" x14ac:dyDescent="0.2">
      <c r="A235" s="137" t="str">
        <f>HLOOKUP(Intro!$B$7,$B:$I,ROW(A235),FALSE)</f>
        <v xml:space="preserve"> Privéonttrekking</v>
      </c>
      <c r="B235" s="137" t="s">
        <v>1193</v>
      </c>
      <c r="C235" s="137" t="s">
        <v>1050</v>
      </c>
    </row>
    <row r="236" spans="1:5" x14ac:dyDescent="0.2">
      <c r="A236" s="137" t="str">
        <f>HLOOKUP(Intro!$B$7,$B:$I,ROW(A236),FALSE)</f>
        <v>Totale uitgaven</v>
      </c>
      <c r="B236" s="137" t="s">
        <v>666</v>
      </c>
      <c r="C236" s="137" t="s">
        <v>667</v>
      </c>
      <c r="D236" s="137" t="s">
        <v>668</v>
      </c>
      <c r="E236" s="137" t="s">
        <v>669</v>
      </c>
    </row>
    <row r="237" spans="1:5" x14ac:dyDescent="0.2">
      <c r="A237" s="137" t="str">
        <f>HLOOKUP(Intro!$B$7,$B:$I,ROW(A237),FALSE)</f>
        <v>Kas per maand</v>
      </c>
      <c r="B237" s="137" t="s">
        <v>670</v>
      </c>
      <c r="C237" s="137" t="s">
        <v>671</v>
      </c>
      <c r="D237" s="137" t="s">
        <v>672</v>
      </c>
      <c r="E237" s="137" t="s">
        <v>673</v>
      </c>
    </row>
    <row r="238" spans="1:5" x14ac:dyDescent="0.2">
      <c r="A238" s="137" t="str">
        <f>HLOOKUP(Intro!$B$7,$B:$I,ROW(A238),FALSE)</f>
        <v>Eindsaldo</v>
      </c>
      <c r="B238" s="137" t="s">
        <v>674</v>
      </c>
      <c r="C238" s="137" t="s">
        <v>675</v>
      </c>
      <c r="D238" s="137" t="s">
        <v>676</v>
      </c>
      <c r="E238" s="137" t="s">
        <v>676</v>
      </c>
    </row>
    <row r="239" spans="1:5" x14ac:dyDescent="0.2">
      <c r="A239" s="137" t="str">
        <f>HLOOKUP(Intro!$B$7,$B:$I,ROW(A239),FALSE)</f>
        <v>Wat is dit?</v>
      </c>
      <c r="B239" s="137" t="s">
        <v>1161</v>
      </c>
      <c r="C239" s="137" t="s">
        <v>1113</v>
      </c>
      <c r="D239" s="137" t="s">
        <v>562</v>
      </c>
      <c r="E239" s="137" t="s">
        <v>563</v>
      </c>
    </row>
    <row r="240" spans="1:5" x14ac:dyDescent="0.2">
      <c r="A240" s="137" t="str">
        <f>HLOOKUP(Intro!$B$7,$B:$I,ROW(A240),FALSE)</f>
        <v>Klik hier om VRAGENLIJST in te vullen</v>
      </c>
      <c r="B240" s="137" t="s">
        <v>55</v>
      </c>
      <c r="C240" s="137" t="s">
        <v>564</v>
      </c>
      <c r="D240" s="137" t="s">
        <v>565</v>
      </c>
      <c r="E240" s="139" t="s">
        <v>55</v>
      </c>
    </row>
    <row r="241" spans="1:5" x14ac:dyDescent="0.2">
      <c r="E241" s="139"/>
    </row>
    <row r="242" spans="1:5" ht="15" x14ac:dyDescent="0.25">
      <c r="A242" s="150" t="str">
        <f>HLOOKUP(Intro!$B$7,$B:$I,ROW(A242),FALSE)</f>
        <v>Exploitatie</v>
      </c>
      <c r="B242" s="150" t="s">
        <v>677</v>
      </c>
      <c r="C242" s="150" t="s">
        <v>678</v>
      </c>
      <c r="D242" s="150" t="s">
        <v>679</v>
      </c>
      <c r="E242" s="150" t="s">
        <v>680</v>
      </c>
    </row>
    <row r="243" spans="1:5" x14ac:dyDescent="0.2">
      <c r="A243" s="137" t="str">
        <f>HLOOKUP(Intro!$B$7,$B:$I,ROW(A243),FALSE)</f>
        <v>Exploitatiebegroting</v>
      </c>
      <c r="B243" s="137" t="s">
        <v>681</v>
      </c>
      <c r="C243" s="137" t="s">
        <v>682</v>
      </c>
      <c r="D243" s="137" t="s">
        <v>683</v>
      </c>
      <c r="E243" s="137" t="s">
        <v>684</v>
      </c>
    </row>
    <row r="244" spans="1:5" x14ac:dyDescent="0.2">
      <c r="A244" s="137" t="str">
        <f>HLOOKUP(Intro!$B$7,$B:$I,ROW(A244),FALSE)</f>
        <v xml:space="preserve">Exploitatiebegroting </v>
      </c>
      <c r="B244" s="137" t="s">
        <v>685</v>
      </c>
      <c r="C244" s="137" t="s">
        <v>686</v>
      </c>
      <c r="D244" s="137" t="s">
        <v>687</v>
      </c>
      <c r="E244" s="137" t="s">
        <v>684</v>
      </c>
    </row>
    <row r="245" spans="1:5" x14ac:dyDescent="0.2">
      <c r="A245" s="137" t="str">
        <f>HLOOKUP(Intro!$B$7,$B:$I,ROW(A245),FALSE)</f>
        <v>Netto-omzet product 1</v>
      </c>
      <c r="B245" s="137" t="s">
        <v>1156</v>
      </c>
      <c r="C245" s="137" t="s">
        <v>688</v>
      </c>
      <c r="D245" s="137" t="s">
        <v>689</v>
      </c>
      <c r="E245" s="137" t="s">
        <v>690</v>
      </c>
    </row>
    <row r="246" spans="1:5" x14ac:dyDescent="0.2">
      <c r="A246" s="137" t="str">
        <f>HLOOKUP(Intro!$B$7,$B:$I,ROW(A246),FALSE)</f>
        <v>Inkoopwaarde</v>
      </c>
      <c r="B246" s="137" t="s">
        <v>691</v>
      </c>
      <c r="C246" s="137" t="s">
        <v>692</v>
      </c>
      <c r="D246" s="137" t="s">
        <v>693</v>
      </c>
      <c r="E246" s="137" t="s">
        <v>694</v>
      </c>
    </row>
    <row r="247" spans="1:5" x14ac:dyDescent="0.2">
      <c r="A247" s="137" t="str">
        <f>HLOOKUP(Intro!$B$7,$B:$I,ROW(A247),FALSE)</f>
        <v>Brutowinst</v>
      </c>
      <c r="B247" s="137" t="s">
        <v>1155</v>
      </c>
      <c r="C247" s="137" t="s">
        <v>695</v>
      </c>
      <c r="D247" s="137" t="s">
        <v>696</v>
      </c>
      <c r="E247" s="137" t="s">
        <v>697</v>
      </c>
    </row>
    <row r="248" spans="1:5" x14ac:dyDescent="0.2">
      <c r="A248" s="137" t="str">
        <f>HLOOKUP(Intro!$B$7,$B:$I,ROW(A248),FALSE)</f>
        <v>Brutowinstmarge</v>
      </c>
      <c r="B248" s="137" t="s">
        <v>698</v>
      </c>
      <c r="C248" s="137" t="s">
        <v>699</v>
      </c>
      <c r="D248" s="137" t="s">
        <v>700</v>
      </c>
      <c r="E248" s="137" t="s">
        <v>701</v>
      </c>
    </row>
    <row r="249" spans="1:5" x14ac:dyDescent="0.2">
      <c r="A249" s="137" t="str">
        <f>HLOOKUP(Intro!$B$7,$B:$I,ROW(A249),FALSE)</f>
        <v>Netto-omzet product 2</v>
      </c>
      <c r="B249" s="137" t="s">
        <v>1157</v>
      </c>
      <c r="C249" s="137" t="s">
        <v>702</v>
      </c>
      <c r="D249" s="137" t="s">
        <v>689</v>
      </c>
      <c r="E249" s="137" t="s">
        <v>690</v>
      </c>
    </row>
    <row r="250" spans="1:5" x14ac:dyDescent="0.2">
      <c r="A250" s="137" t="str">
        <f>HLOOKUP(Intro!$B$7,$B:$I,ROW(A250),FALSE)</f>
        <v>Inkoopwaarde</v>
      </c>
      <c r="B250" s="137" t="s">
        <v>691</v>
      </c>
      <c r="C250" s="137" t="s">
        <v>692</v>
      </c>
      <c r="D250" s="137" t="s">
        <v>693</v>
      </c>
      <c r="E250" s="137" t="s">
        <v>694</v>
      </c>
    </row>
    <row r="251" spans="1:5" x14ac:dyDescent="0.2">
      <c r="A251" s="137" t="str">
        <f>HLOOKUP(Intro!$B$7,$B:$I,ROW(A251),FALSE)</f>
        <v>Brutowinst</v>
      </c>
      <c r="B251" s="137" t="s">
        <v>1155</v>
      </c>
      <c r="C251" s="137" t="s">
        <v>695</v>
      </c>
      <c r="D251" s="137" t="s">
        <v>696</v>
      </c>
      <c r="E251" s="137" t="s">
        <v>697</v>
      </c>
    </row>
    <row r="252" spans="1:5" x14ac:dyDescent="0.2">
      <c r="A252" s="137" t="str">
        <f>HLOOKUP(Intro!$B$7,$B:$I,ROW(A252),FALSE)</f>
        <v>Brutowinstmarge</v>
      </c>
      <c r="B252" s="137" t="s">
        <v>698</v>
      </c>
      <c r="C252" s="137" t="s">
        <v>699</v>
      </c>
      <c r="D252" s="137" t="s">
        <v>700</v>
      </c>
      <c r="E252" s="137" t="s">
        <v>701</v>
      </c>
    </row>
    <row r="253" spans="1:5" x14ac:dyDescent="0.2">
      <c r="A253" s="137" t="str">
        <f>HLOOKUP(Intro!$B$7,$B:$I,ROW(A253),FALSE)</f>
        <v>Totaal omzet</v>
      </c>
      <c r="B253" s="137" t="s">
        <v>703</v>
      </c>
      <c r="C253" s="137" t="s">
        <v>704</v>
      </c>
      <c r="D253" s="137" t="s">
        <v>689</v>
      </c>
      <c r="E253" s="137" t="s">
        <v>690</v>
      </c>
    </row>
    <row r="254" spans="1:5" x14ac:dyDescent="0.2">
      <c r="A254" s="137" t="str">
        <f>HLOOKUP(Intro!$B$7,$B:$I,ROW(A254),FALSE)</f>
        <v>Inkoopwaarde</v>
      </c>
      <c r="B254" s="137" t="s">
        <v>691</v>
      </c>
      <c r="C254" s="137" t="s">
        <v>705</v>
      </c>
      <c r="D254" s="137" t="s">
        <v>693</v>
      </c>
      <c r="E254" s="137" t="s">
        <v>694</v>
      </c>
    </row>
    <row r="255" spans="1:5" x14ac:dyDescent="0.2">
      <c r="A255" s="137" t="str">
        <f>HLOOKUP(Intro!$B$7,$B:$I,ROW(A255),FALSE)</f>
        <v>Totaal brutowinst</v>
      </c>
      <c r="B255" s="137" t="s">
        <v>1158</v>
      </c>
      <c r="C255" s="137" t="s">
        <v>706</v>
      </c>
      <c r="D255" s="137" t="s">
        <v>700</v>
      </c>
      <c r="E255" s="137" t="s">
        <v>701</v>
      </c>
    </row>
    <row r="256" spans="1:5" x14ac:dyDescent="0.2">
      <c r="A256" s="137" t="str">
        <f>HLOOKUP(Intro!$B$7,$B:$I,ROW(A256),FALSE)</f>
        <v>Personeelskosten</v>
      </c>
      <c r="B256" s="137" t="s">
        <v>707</v>
      </c>
      <c r="C256" s="137" t="s">
        <v>708</v>
      </c>
      <c r="D256" s="137" t="s">
        <v>709</v>
      </c>
      <c r="E256" s="137" t="s">
        <v>710</v>
      </c>
    </row>
    <row r="257" spans="1:5" x14ac:dyDescent="0.2">
      <c r="A257" s="137" t="str">
        <f>HLOOKUP(Intro!$B$7,$B:$I,ROW(A257),FALSE)</f>
        <v>Huisvestingskosten</v>
      </c>
      <c r="B257" s="137" t="s">
        <v>711</v>
      </c>
      <c r="C257" s="137" t="s">
        <v>712</v>
      </c>
      <c r="D257" s="137" t="s">
        <v>713</v>
      </c>
      <c r="E257" s="137" t="s">
        <v>714</v>
      </c>
    </row>
    <row r="258" spans="1:5" x14ac:dyDescent="0.2">
      <c r="A258" s="137" t="str">
        <f>HLOOKUP(Intro!$B$7,$B:$I,ROW(A258),FALSE)</f>
        <v>Vervoer/ transportkosten</v>
      </c>
      <c r="B258" s="137" t="s">
        <v>715</v>
      </c>
      <c r="C258" s="137" t="s">
        <v>716</v>
      </c>
      <c r="D258" s="137" t="s">
        <v>717</v>
      </c>
      <c r="E258" s="137" t="s">
        <v>718</v>
      </c>
    </row>
    <row r="259" spans="1:5" x14ac:dyDescent="0.2">
      <c r="A259" s="137" t="str">
        <f>HLOOKUP(Intro!$B$7,$B:$I,ROW(A259),FALSE)</f>
        <v>Promotiekosten</v>
      </c>
      <c r="B259" s="137" t="s">
        <v>282</v>
      </c>
      <c r="C259" s="137" t="s">
        <v>719</v>
      </c>
      <c r="D259" s="137" t="s">
        <v>720</v>
      </c>
      <c r="E259" s="137" t="s">
        <v>721</v>
      </c>
    </row>
    <row r="260" spans="1:5" x14ac:dyDescent="0.2">
      <c r="A260" s="137" t="str">
        <f>HLOOKUP(Intro!$B$7,$B:$I,ROW(A260),FALSE)</f>
        <v xml:space="preserve">Overige bedrijfskosten </v>
      </c>
      <c r="B260" s="137" t="s">
        <v>722</v>
      </c>
      <c r="C260" s="137" t="s">
        <v>723</v>
      </c>
      <c r="D260" s="137" t="s">
        <v>724</v>
      </c>
      <c r="E260" s="137" t="s">
        <v>725</v>
      </c>
    </row>
    <row r="261" spans="1:5" x14ac:dyDescent="0.2">
      <c r="A261" s="137" t="str">
        <f>HLOOKUP(Intro!$B$7,$B:$I,ROW(A261),FALSE)</f>
        <v>Afschrijvingen</v>
      </c>
      <c r="B261" s="137" t="s">
        <v>726</v>
      </c>
      <c r="C261" s="137" t="s">
        <v>727</v>
      </c>
      <c r="D261" s="137" t="s">
        <v>728</v>
      </c>
      <c r="E261" s="137" t="s">
        <v>729</v>
      </c>
    </row>
    <row r="262" spans="1:5" x14ac:dyDescent="0.2">
      <c r="A262" s="137" t="str">
        <f>HLOOKUP(Intro!$B$7,$B:$I,ROW(A262),FALSE)</f>
        <v>Totaal bedrijfskosten</v>
      </c>
      <c r="B262" s="137" t="s">
        <v>1159</v>
      </c>
      <c r="C262" s="137" t="s">
        <v>730</v>
      </c>
      <c r="D262" s="137" t="s">
        <v>731</v>
      </c>
      <c r="E262" s="137" t="s">
        <v>732</v>
      </c>
    </row>
    <row r="263" spans="1:5" x14ac:dyDescent="0.2">
      <c r="A263" s="137" t="str">
        <f>HLOOKUP(Intro!$B$7,$B:$I,ROW(A263),FALSE)</f>
        <v>Rente Qredits</v>
      </c>
      <c r="B263" s="137" t="s">
        <v>733</v>
      </c>
      <c r="C263" s="137" t="s">
        <v>734</v>
      </c>
      <c r="D263" s="137" t="s">
        <v>735</v>
      </c>
      <c r="E263" s="137" t="s">
        <v>735</v>
      </c>
    </row>
    <row r="264" spans="1:5" x14ac:dyDescent="0.2">
      <c r="A264" s="137" t="str">
        <f>HLOOKUP(Intro!$B$7,$B:$I,ROW(A264),FALSE)</f>
        <v>Overige rentelasten</v>
      </c>
      <c r="B264" s="137" t="s">
        <v>736</v>
      </c>
      <c r="C264" s="137" t="s">
        <v>737</v>
      </c>
      <c r="D264" s="137" t="s">
        <v>738</v>
      </c>
      <c r="E264" s="137" t="s">
        <v>739</v>
      </c>
    </row>
    <row r="265" spans="1:5" x14ac:dyDescent="0.2">
      <c r="A265" s="137" t="str">
        <f>HLOOKUP(Intro!$B$7,$B:$I,ROW(A265),FALSE)</f>
        <v>Winst uit onderneming</v>
      </c>
      <c r="B265" s="137" t="s">
        <v>740</v>
      </c>
      <c r="C265" s="137" t="s">
        <v>741</v>
      </c>
      <c r="D265" s="137" t="s">
        <v>742</v>
      </c>
      <c r="E265" s="137" t="s">
        <v>743</v>
      </c>
    </row>
    <row r="266" spans="1:5" x14ac:dyDescent="0.2">
      <c r="A266" s="137" t="str">
        <f>HLOOKUP(Intro!$B$7,$B:$I,ROW(A266),FALSE)</f>
        <v>Winstdeel</v>
      </c>
      <c r="B266" s="137" t="s">
        <v>744</v>
      </c>
      <c r="C266" s="137" t="s">
        <v>745</v>
      </c>
    </row>
    <row r="267" spans="1:5" x14ac:dyDescent="0.2">
      <c r="A267" s="137" t="str">
        <f>HLOOKUP(Intro!$B$7,$B:$I,ROW(A267),FALSE)</f>
        <v>Aftrekposten</v>
      </c>
      <c r="B267" s="137" t="s">
        <v>746</v>
      </c>
      <c r="C267" s="137" t="s">
        <v>747</v>
      </c>
      <c r="D267" s="137" t="s">
        <v>748</v>
      </c>
      <c r="E267" s="137" t="s">
        <v>749</v>
      </c>
    </row>
    <row r="268" spans="1:5" x14ac:dyDescent="0.2">
      <c r="A268" s="137" t="str">
        <f>HLOOKUP(Intro!$B$7,$B:$I,ROW(A268),FALSE)</f>
        <v>Belastbaar inkomen</v>
      </c>
      <c r="B268" s="137" t="s">
        <v>750</v>
      </c>
      <c r="C268" s="137" t="s">
        <v>751</v>
      </c>
      <c r="D268" s="137" t="s">
        <v>752</v>
      </c>
      <c r="E268" s="137" t="s">
        <v>753</v>
      </c>
    </row>
    <row r="269" spans="1:5" x14ac:dyDescent="0.2">
      <c r="A269" s="137" t="str">
        <f>HLOOKUP(Intro!$B$7,$B:$I,ROW(A269),FALSE)</f>
        <v>IB-bedrag</v>
      </c>
      <c r="B269" s="137" t="s">
        <v>1194</v>
      </c>
      <c r="C269" s="137" t="s">
        <v>755</v>
      </c>
      <c r="D269" s="137" t="s">
        <v>756</v>
      </c>
      <c r="E269" s="137" t="s">
        <v>754</v>
      </c>
    </row>
    <row r="270" spans="1:5" x14ac:dyDescent="0.2">
      <c r="A270" s="137" t="str">
        <f>HLOOKUP(Intro!$B$7,$B:$I,ROW(A270),FALSE)</f>
        <v>Privéonttrekking</v>
      </c>
      <c r="B270" s="137" t="s">
        <v>1195</v>
      </c>
      <c r="C270" s="137" t="s">
        <v>757</v>
      </c>
      <c r="D270" s="137" t="s">
        <v>758</v>
      </c>
      <c r="E270" s="137" t="s">
        <v>759</v>
      </c>
    </row>
    <row r="271" spans="1:5" x14ac:dyDescent="0.2">
      <c r="A271" s="137" t="str">
        <f>HLOOKUP(Intro!$B$7,$B:$I,ROW(A271),FALSE)</f>
        <v>Winst uit onderneming</v>
      </c>
      <c r="B271" s="137" t="s">
        <v>740</v>
      </c>
      <c r="C271" s="137" t="s">
        <v>1051</v>
      </c>
      <c r="D271" s="137" t="s">
        <v>760</v>
      </c>
      <c r="E271" s="139" t="s">
        <v>761</v>
      </c>
    </row>
    <row r="272" spans="1:5" x14ac:dyDescent="0.2">
      <c r="A272" s="137" t="str">
        <f>HLOOKUP(Intro!$B$7,$B:$I,ROW(A272),FALSE)</f>
        <v>Mutatie eigen vermogen</v>
      </c>
      <c r="B272" s="137" t="s">
        <v>1160</v>
      </c>
      <c r="C272" s="137" t="s">
        <v>1052</v>
      </c>
      <c r="D272" s="137" t="s">
        <v>760</v>
      </c>
      <c r="E272" s="139" t="s">
        <v>761</v>
      </c>
    </row>
    <row r="273" spans="1:5" x14ac:dyDescent="0.2">
      <c r="A273" s="137" t="str">
        <f>HLOOKUP(Intro!$B$7,$B:$I,ROW(A273),FALSE)</f>
        <v xml:space="preserve">Cashflowoverzicht  </v>
      </c>
      <c r="B273" s="137" t="s">
        <v>1196</v>
      </c>
      <c r="C273" s="137" t="s">
        <v>762</v>
      </c>
      <c r="D273" s="137" t="s">
        <v>763</v>
      </c>
      <c r="E273" s="137" t="s">
        <v>764</v>
      </c>
    </row>
    <row r="274" spans="1:5" x14ac:dyDescent="0.2">
      <c r="A274" s="137" t="str">
        <f>HLOOKUP(Intro!$B$7,$B:$I,ROW(A274),FALSE)</f>
        <v>Winst na belasting</v>
      </c>
      <c r="B274" s="137" t="s">
        <v>765</v>
      </c>
      <c r="C274" s="137" t="s">
        <v>766</v>
      </c>
      <c r="D274" s="137" t="s">
        <v>767</v>
      </c>
      <c r="E274" s="137" t="s">
        <v>768</v>
      </c>
    </row>
    <row r="275" spans="1:5" x14ac:dyDescent="0.2">
      <c r="A275" s="137" t="str">
        <f>HLOOKUP(Intro!$B$7,$B:$I,ROW(A275),FALSE)</f>
        <v>Afschrijvingen</v>
      </c>
      <c r="B275" s="137" t="s">
        <v>726</v>
      </c>
      <c r="C275" s="137" t="s">
        <v>727</v>
      </c>
      <c r="D275" s="137" t="s">
        <v>728</v>
      </c>
      <c r="E275" s="137" t="s">
        <v>729</v>
      </c>
    </row>
    <row r="276" spans="1:5" x14ac:dyDescent="0.2">
      <c r="A276" s="137" t="str">
        <f>HLOOKUP(Intro!$B$7,$B:$I,ROW(A276),FALSE)</f>
        <v>Beschikbare kasmiddelen</v>
      </c>
      <c r="B276" s="137" t="s">
        <v>769</v>
      </c>
      <c r="C276" s="137" t="s">
        <v>770</v>
      </c>
      <c r="D276" s="137" t="s">
        <v>771</v>
      </c>
      <c r="E276" s="137" t="s">
        <v>772</v>
      </c>
    </row>
    <row r="277" spans="1:5" x14ac:dyDescent="0.2">
      <c r="A277" s="137" t="str">
        <f>HLOOKUP(Intro!$B$7,$B:$I,ROW(A277),FALSE)</f>
        <v>Totale privéonttrekking</v>
      </c>
      <c r="B277" s="137" t="s">
        <v>1197</v>
      </c>
      <c r="C277" s="137" t="s">
        <v>773</v>
      </c>
      <c r="D277" s="137" t="s">
        <v>774</v>
      </c>
      <c r="E277" s="137" t="s">
        <v>775</v>
      </c>
    </row>
    <row r="278" spans="1:5" x14ac:dyDescent="0.2">
      <c r="A278" s="137" t="str">
        <f>HLOOKUP(Intro!$B$7,$B:$I,ROW(A278),FALSE)</f>
        <v>Aflossingen</v>
      </c>
      <c r="B278" s="137" t="s">
        <v>776</v>
      </c>
      <c r="C278" s="137" t="s">
        <v>777</v>
      </c>
      <c r="D278" s="137" t="s">
        <v>778</v>
      </c>
      <c r="E278" s="137" t="s">
        <v>779</v>
      </c>
    </row>
    <row r="279" spans="1:5" x14ac:dyDescent="0.2">
      <c r="A279" s="137" t="str">
        <f>HLOOKUP(Intro!$B$7,$B:$I,ROW(A279),FALSE)</f>
        <v>Beschikbaar voor investeringen</v>
      </c>
      <c r="B279" s="137" t="s">
        <v>780</v>
      </c>
      <c r="C279" s="137" t="s">
        <v>781</v>
      </c>
      <c r="D279" s="137" t="s">
        <v>782</v>
      </c>
      <c r="E279" s="137" t="s">
        <v>783</v>
      </c>
    </row>
    <row r="280" spans="1:5" x14ac:dyDescent="0.2">
      <c r="A280" s="137" t="str">
        <f>HLOOKUP(Intro!$B$7,$B:$I,ROW(A280),FALSE)</f>
        <v>Wat is dit?</v>
      </c>
      <c r="B280" s="137" t="s">
        <v>1161</v>
      </c>
      <c r="C280" s="137" t="s">
        <v>561</v>
      </c>
      <c r="D280" s="137" t="s">
        <v>562</v>
      </c>
      <c r="E280" s="137" t="s">
        <v>563</v>
      </c>
    </row>
    <row r="281" spans="1:5" x14ac:dyDescent="0.2">
      <c r="A281" s="137" t="str">
        <f>HLOOKUP(Intro!$B$7,$B:$I,ROW(A281),FALSE)</f>
        <v>Klik hier om VRAGENLIJST in te vullen</v>
      </c>
      <c r="B281" s="137" t="s">
        <v>55</v>
      </c>
      <c r="C281" s="137" t="s">
        <v>564</v>
      </c>
      <c r="D281" s="137" t="s">
        <v>565</v>
      </c>
      <c r="E281" s="139" t="s">
        <v>55</v>
      </c>
    </row>
    <row r="282" spans="1:5" x14ac:dyDescent="0.2">
      <c r="E282" s="139"/>
    </row>
    <row r="283" spans="1:5" ht="15" x14ac:dyDescent="0.25">
      <c r="A283" s="150" t="str">
        <f>HLOOKUP(Intro!$B$7,$B:$I,ROW(A283),FALSE)</f>
        <v>Qredits maandlasten</v>
      </c>
      <c r="B283" s="150" t="s">
        <v>784</v>
      </c>
      <c r="C283" s="150" t="s">
        <v>785</v>
      </c>
      <c r="D283" s="150" t="s">
        <v>786</v>
      </c>
      <c r="E283" s="150" t="s">
        <v>787</v>
      </c>
    </row>
    <row r="284" spans="1:5" x14ac:dyDescent="0.2">
      <c r="A284" s="137" t="str">
        <f>HLOOKUP(Intro!$B$7,$B:$I,ROW(A284),FALSE)</f>
        <v>Qredits maandlasten</v>
      </c>
      <c r="B284" s="137" t="s">
        <v>784</v>
      </c>
      <c r="C284" s="137" t="s">
        <v>785</v>
      </c>
      <c r="D284" s="137" t="s">
        <v>786</v>
      </c>
      <c r="E284" s="137" t="s">
        <v>787</v>
      </c>
    </row>
    <row r="285" spans="1:5" x14ac:dyDescent="0.2">
      <c r="A285" s="137" t="str">
        <f>HLOOKUP(Intro!$B$7,$B:$I,ROW(A285),FALSE)</f>
        <v>Indicatie op basis van de door u ingevulde investering- en financieringsbegroting</v>
      </c>
      <c r="B285" s="137" t="s">
        <v>788</v>
      </c>
      <c r="C285" s="137" t="s">
        <v>789</v>
      </c>
      <c r="D285" s="137" t="s">
        <v>790</v>
      </c>
      <c r="E285" s="137" t="s">
        <v>791</v>
      </c>
    </row>
    <row r="286" spans="1:5" x14ac:dyDescent="0.2">
      <c r="A286" s="137" t="str">
        <f>HLOOKUP(Intro!$B$7,$B:$I,ROW(A286),FALSE)</f>
        <v>Looptijd in jaren</v>
      </c>
      <c r="B286" s="137" t="s">
        <v>792</v>
      </c>
      <c r="C286" s="137" t="s">
        <v>793</v>
      </c>
      <c r="D286" s="137" t="s">
        <v>794</v>
      </c>
      <c r="E286" s="137" t="s">
        <v>795</v>
      </c>
    </row>
    <row r="287" spans="1:5" x14ac:dyDescent="0.2">
      <c r="A287" s="137" t="str">
        <f>HLOOKUP(Intro!$B$7,$B:$I,ROW(A287),FALSE)</f>
        <v>Looptijd in maanden</v>
      </c>
      <c r="B287" s="137" t="s">
        <v>796</v>
      </c>
      <c r="C287" s="137" t="s">
        <v>797</v>
      </c>
      <c r="D287" s="137" t="s">
        <v>798</v>
      </c>
      <c r="E287" s="137" t="s">
        <v>799</v>
      </c>
    </row>
    <row r="288" spans="1:5" x14ac:dyDescent="0.2">
      <c r="A288" s="137" t="str">
        <f>HLOOKUP(Intro!$B$7,$B:$I,ROW(A288),FALSE)</f>
        <v>Lening</v>
      </c>
      <c r="B288" s="137" t="s">
        <v>800</v>
      </c>
      <c r="C288" s="137" t="s">
        <v>801</v>
      </c>
      <c r="D288" s="137" t="s">
        <v>802</v>
      </c>
      <c r="E288" s="137" t="s">
        <v>803</v>
      </c>
    </row>
    <row r="289" spans="1:5" x14ac:dyDescent="0.2">
      <c r="A289" s="137" t="str">
        <f>HLOOKUP(Intro!$B$7,$B:$I,ROW(A289),FALSE)</f>
        <v>Afsluitkosten</v>
      </c>
      <c r="B289" s="137" t="s">
        <v>804</v>
      </c>
      <c r="C289" s="137" t="s">
        <v>538</v>
      </c>
      <c r="D289" s="137" t="s">
        <v>539</v>
      </c>
      <c r="E289" s="137" t="s">
        <v>540</v>
      </c>
    </row>
    <row r="290" spans="1:5" x14ac:dyDescent="0.2">
      <c r="A290" s="137" t="str">
        <f>HLOOKUP(Intro!$B$7,$B:$I,ROW(A290),FALSE)</f>
        <v>Rente % per jaar</v>
      </c>
      <c r="B290" s="137" t="s">
        <v>805</v>
      </c>
      <c r="C290" s="137" t="s">
        <v>806</v>
      </c>
      <c r="D290" s="137" t="s">
        <v>807</v>
      </c>
      <c r="E290" s="137" t="s">
        <v>808</v>
      </c>
    </row>
    <row r="291" spans="1:5" x14ac:dyDescent="0.2">
      <c r="A291" s="137" t="str">
        <f>HLOOKUP(Intro!$B$7,$B:$I,ROW(A291),FALSE)</f>
        <v>Rente % per maand</v>
      </c>
      <c r="B291" s="137" t="s">
        <v>809</v>
      </c>
      <c r="C291" s="137" t="s">
        <v>810</v>
      </c>
      <c r="D291" s="137" t="s">
        <v>811</v>
      </c>
      <c r="E291" s="137" t="s">
        <v>812</v>
      </c>
    </row>
    <row r="292" spans="1:5" x14ac:dyDescent="0.2">
      <c r="A292" s="137" t="str">
        <f>HLOOKUP(Intro!$B$7,$B:$I,ROW(A292),FALSE)</f>
        <v>Aflossing per maand</v>
      </c>
      <c r="B292" s="137" t="s">
        <v>813</v>
      </c>
      <c r="C292" s="137" t="s">
        <v>814</v>
      </c>
      <c r="D292" s="137" t="s">
        <v>815</v>
      </c>
      <c r="E292" s="137" t="s">
        <v>816</v>
      </c>
    </row>
    <row r="293" spans="1:5" x14ac:dyDescent="0.2">
      <c r="A293" s="137" t="str">
        <f>HLOOKUP(Intro!$B$7,$B:$I,ROW(A293),FALSE)</f>
        <v>Aflosmethode</v>
      </c>
      <c r="B293" s="137" t="s">
        <v>817</v>
      </c>
      <c r="C293" s="137" t="s">
        <v>818</v>
      </c>
      <c r="D293" s="137" t="s">
        <v>815</v>
      </c>
      <c r="E293" s="137" t="s">
        <v>816</v>
      </c>
    </row>
    <row r="294" spans="1:5" x14ac:dyDescent="0.2">
      <c r="A294" s="137" t="str">
        <f>HLOOKUP(Intro!$B$7,$B:$I,ROW(A294),FALSE)</f>
        <v>Maand 1e aflossing</v>
      </c>
      <c r="B294" s="137" t="s">
        <v>819</v>
      </c>
      <c r="C294" s="137" t="s">
        <v>820</v>
      </c>
      <c r="D294" s="137" t="s">
        <v>821</v>
      </c>
      <c r="E294" s="137" t="s">
        <v>822</v>
      </c>
    </row>
    <row r="295" spans="1:5" x14ac:dyDescent="0.2">
      <c r="A295" s="137" t="str">
        <f>HLOOKUP(Intro!$B$7,$B:$I,ROW(A295),FALSE)</f>
        <v xml:space="preserve">Jaar </v>
      </c>
      <c r="B295" s="137" t="s">
        <v>823</v>
      </c>
      <c r="C295" s="137" t="s">
        <v>824</v>
      </c>
      <c r="D295" s="137" t="s">
        <v>825</v>
      </c>
      <c r="E295" s="137" t="s">
        <v>826</v>
      </c>
    </row>
    <row r="296" spans="1:5" x14ac:dyDescent="0.2">
      <c r="A296" s="137" t="str">
        <f>HLOOKUP(Intro!$B$7,$B:$I,ROW(A296),FALSE)</f>
        <v>Bedrag lening begin maand</v>
      </c>
      <c r="B296" s="137" t="s">
        <v>827</v>
      </c>
      <c r="C296" s="137" t="s">
        <v>828</v>
      </c>
      <c r="D296" s="137" t="s">
        <v>829</v>
      </c>
      <c r="E296" s="137" t="s">
        <v>830</v>
      </c>
    </row>
    <row r="297" spans="1:5" x14ac:dyDescent="0.2">
      <c r="A297" s="137" t="str">
        <f>HLOOKUP(Intro!$B$7,$B:$I,ROW(A297),FALSE)</f>
        <v>Kosten rente per maand</v>
      </c>
      <c r="B297" s="137" t="s">
        <v>831</v>
      </c>
      <c r="C297" s="137" t="s">
        <v>832</v>
      </c>
      <c r="D297" s="137" t="s">
        <v>833</v>
      </c>
      <c r="E297" s="137" t="s">
        <v>834</v>
      </c>
    </row>
    <row r="298" spans="1:5" x14ac:dyDescent="0.2">
      <c r="A298" s="137" t="str">
        <f>HLOOKUP(Intro!$B$7,$B:$I,ROW(A298),FALSE)</f>
        <v>Aflossing per maand</v>
      </c>
      <c r="B298" s="137" t="s">
        <v>813</v>
      </c>
      <c r="C298" s="137" t="s">
        <v>814</v>
      </c>
      <c r="D298" s="137" t="s">
        <v>816</v>
      </c>
      <c r="E298" s="137" t="s">
        <v>816</v>
      </c>
    </row>
    <row r="299" spans="1:5" x14ac:dyDescent="0.2">
      <c r="A299" s="137" t="str">
        <f>HLOOKUP(Intro!$B$7,$B:$I,ROW(A299),FALSE)</f>
        <v>Afsluitkosten</v>
      </c>
      <c r="B299" s="137" t="s">
        <v>804</v>
      </c>
      <c r="C299" s="137" t="s">
        <v>538</v>
      </c>
      <c r="D299" s="137" t="s">
        <v>539</v>
      </c>
      <c r="E299" s="137" t="s">
        <v>540</v>
      </c>
    </row>
    <row r="300" spans="1:5" x14ac:dyDescent="0.2">
      <c r="A300" s="137" t="str">
        <f>HLOOKUP(Intro!$B$7,$B:$I,ROW(A300),FALSE)</f>
        <v>Te betalen per maand</v>
      </c>
      <c r="B300" s="137" t="s">
        <v>835</v>
      </c>
      <c r="C300" s="137" t="s">
        <v>836</v>
      </c>
      <c r="D300" s="137" t="s">
        <v>837</v>
      </c>
      <c r="E300" s="137" t="s">
        <v>838</v>
      </c>
    </row>
    <row r="301" spans="1:5" x14ac:dyDescent="0.2">
      <c r="A301" s="137" t="str">
        <f>HLOOKUP(Intro!$B$7,$B:$I,ROW(A301),FALSE)</f>
        <v>Bedrag annuïteit</v>
      </c>
      <c r="B301" s="137" t="s">
        <v>549</v>
      </c>
      <c r="C301" s="137" t="s">
        <v>1053</v>
      </c>
      <c r="D301" s="137" t="s">
        <v>551</v>
      </c>
      <c r="E301" s="137" t="s">
        <v>552</v>
      </c>
    </row>
    <row r="302" spans="1:5" x14ac:dyDescent="0.2">
      <c r="A302" s="137" t="str">
        <f>HLOOKUP(Intro!$B$7,$B:$I,ROW(A302),FALSE)</f>
        <v>Bedrag maandelijkse aflossing</v>
      </c>
      <c r="B302" s="137" t="s">
        <v>1054</v>
      </c>
      <c r="C302" s="137" t="s">
        <v>1055</v>
      </c>
      <c r="D302" s="137" t="s">
        <v>551</v>
      </c>
      <c r="E302" s="137" t="s">
        <v>552</v>
      </c>
    </row>
    <row r="303" spans="1:5" x14ac:dyDescent="0.2">
      <c r="A303" s="137" t="str">
        <f>HLOOKUP(Intro!$B$7,$B:$I,ROW(A303),FALSE)</f>
        <v>Totaal betaald gedurende de looptijd</v>
      </c>
      <c r="B303" s="137" t="s">
        <v>839</v>
      </c>
      <c r="C303" s="137" t="s">
        <v>840</v>
      </c>
      <c r="D303" s="137" t="s">
        <v>841</v>
      </c>
      <c r="E303" s="137" t="s">
        <v>842</v>
      </c>
    </row>
    <row r="304" spans="1:5" x14ac:dyDescent="0.2">
      <c r="A304" s="137" t="str">
        <f>HLOOKUP(Intro!$B$7,$B:$I,ROW(A304),FALSE)</f>
        <v>Totaal aflossing</v>
      </c>
      <c r="B304" s="137" t="s">
        <v>843</v>
      </c>
      <c r="C304" s="137" t="s">
        <v>844</v>
      </c>
      <c r="D304" s="137" t="s">
        <v>845</v>
      </c>
      <c r="E304" s="137" t="s">
        <v>846</v>
      </c>
    </row>
    <row r="305" spans="1:5" x14ac:dyDescent="0.2">
      <c r="A305" s="137" t="str">
        <f>HLOOKUP(Intro!$B$7,$B:$I,ROW(A305),FALSE)</f>
        <v>Totaal rente</v>
      </c>
      <c r="B305" s="137" t="s">
        <v>847</v>
      </c>
      <c r="C305" s="137" t="s">
        <v>848</v>
      </c>
      <c r="D305" s="137" t="s">
        <v>849</v>
      </c>
      <c r="E305" s="137" t="s">
        <v>850</v>
      </c>
    </row>
    <row r="306" spans="1:5" x14ac:dyDescent="0.2">
      <c r="A306" s="137" t="str">
        <f>HLOOKUP(Intro!$B$7,$B:$I,ROW(A306),FALSE)</f>
        <v>Totaal afsluitkosten</v>
      </c>
      <c r="B306" s="137" t="s">
        <v>851</v>
      </c>
      <c r="C306" s="137" t="s">
        <v>852</v>
      </c>
      <c r="D306" s="137" t="s">
        <v>853</v>
      </c>
      <c r="E306" s="137" t="s">
        <v>854</v>
      </c>
    </row>
    <row r="307" spans="1:5" x14ac:dyDescent="0.2">
      <c r="A307" s="137" t="str">
        <f>HLOOKUP(Intro!$B$7,$B:$I,ROW(A307),FALSE)</f>
        <v>Effectieve rente</v>
      </c>
      <c r="B307" s="137" t="s">
        <v>855</v>
      </c>
      <c r="C307" s="137" t="s">
        <v>856</v>
      </c>
      <c r="D307" s="137" t="s">
        <v>857</v>
      </c>
      <c r="E307" s="137" t="s">
        <v>858</v>
      </c>
    </row>
    <row r="309" spans="1:5" ht="15" x14ac:dyDescent="0.25">
      <c r="A309" s="150" t="str">
        <f>HLOOKUP(Intro!$B$7,$B:$I,ROW(A309),FALSE)</f>
        <v>Uitleg aftrekposten</v>
      </c>
      <c r="B309" s="150" t="s">
        <v>1094</v>
      </c>
      <c r="C309" s="150" t="s">
        <v>1095</v>
      </c>
      <c r="D309" s="150" t="s">
        <v>786</v>
      </c>
    </row>
    <row r="310" spans="1:5" x14ac:dyDescent="0.2">
      <c r="A310" s="137" t="str">
        <f>HLOOKUP(Intro!$B$7,$B:$I,ROW(A310),FALSE)</f>
        <v>Ondernemer</v>
      </c>
      <c r="B310" s="137" t="s">
        <v>1092</v>
      </c>
      <c r="C310" s="137" t="s">
        <v>1096</v>
      </c>
    </row>
    <row r="311" spans="1:5" x14ac:dyDescent="0.2">
      <c r="A311" s="137" t="str">
        <f>HLOOKUP(Intro!$B$7,$B:$I,ROW(A311),FALSE)</f>
        <v>Urencriterium</v>
      </c>
      <c r="B311" s="137" t="s">
        <v>1093</v>
      </c>
      <c r="C311" s="137" t="s">
        <v>1098</v>
      </c>
    </row>
    <row r="312" spans="1:5" ht="89.25" x14ac:dyDescent="0.2">
      <c r="A312" s="137" t="str">
        <f>HLOOKUP(Intro!$B$7,$B:$I,ROW(A312),FALSE)</f>
        <v>Als zelfstandig ondernemer kan je in aanmerking komen voor de zelfstandigenaftrek. Je mag dan een vast bedrag van je winst aftrekken. Daardoor betaal je minder belasting. 
Je hebt recht op de zelfstandigenaftrek als je:
      - Ondernemer bent
      - Voldoet aan het urencriterium
      - Aan het begin van het kalenderjaar de AOW-leeftijd nog niet hebt bereikt</v>
      </c>
      <c r="B312" s="137" t="s">
        <v>1162</v>
      </c>
      <c r="C312" s="137" t="s">
        <v>1097</v>
      </c>
    </row>
    <row r="313" spans="1:5" ht="89.25" x14ac:dyDescent="0.2">
      <c r="A313" s="137" t="str">
        <f>HLOOKUP(Intro!$B$7,$B:$I,ROW(A313),FALSE)</f>
        <v>Als startende ondernemer kan je in aanmerking komen voor de startersaftrek. Je mag dan, net als bij de zelfstandigenaftrek, een vast bedrag van je winst aftrekken. 
Je hebt recht op de startersaftrek als je:
      - Recht hebt op de zelfstandigenaftrek
      - In de afgelopen 5 jaar niet elk jaar ondernemer was
      - In de afgelopen 5 jaar de zelfstandigenaftrek maximaal twee keer hebt gebruikt</v>
      </c>
      <c r="B313" s="137" t="s">
        <v>1165</v>
      </c>
      <c r="C313" s="137" t="s">
        <v>1099</v>
      </c>
    </row>
    <row r="314" spans="1:5" ht="140.25" x14ac:dyDescent="0.2">
      <c r="A314" s="137" t="str">
        <f>HLOOKUP(Intro!$B$7,$B:$I,ROW(A314),FALSE)</f>
        <v>Werkt jouw partner (grotendeels) onbetaald mee in de onderneming, dan kan je profiteren van de meewerkaftrek. De meewerkaftrek is afhankelijk van de behaalde winst en het aantal meegewerkte uren. Houd dus een urenadministratie bij!
Je hebt recht op de meewerkaftrek als je:
      - Ondernemer bent
      - Voldoet aan het urencriterium
      - Een fiscale partner hebt die 525 uren of meer zonder vergoeding in uw onderneming werkt, of tegen een 
        vergoeding van minder dan € 5.000
      - Het aantal meegewerkte uren aannemelijk kan maken</v>
      </c>
      <c r="B314" s="137" t="s">
        <v>1163</v>
      </c>
      <c r="C314" s="137" t="s">
        <v>1100</v>
      </c>
    </row>
    <row r="315" spans="1:5" ht="409.5" x14ac:dyDescent="0.2">
      <c r="A315" s="137" t="str">
        <f>HLOOKUP(Intro!$B$7,$B:$I,ROW(A315),FALSE)</f>
        <v>Niet iedere ondernemer, is ondernemer voor de belasting. Om in aamerking te komen voor de status van ondernemer voor de belasting moet je voldoen aan een aantal voorwaarden.
De Belastindienst hanteert daarbij de volgende uitgangspunten:
      - Winst: Als je alleen een hele kleine winst hebt of structureel verlies lijdt, is het niet aannemelijk dat je winst
         gaat maken. Er is dan geen sprake van een onderneming.
      - Zelfstandigheid: Als anderen bepalen hoe je jouw onderneming moet inrichten en hoe je jouw werkzaamheden
         uitvoert, ontbreekt de zelfstandigheid en is er meestal geen sprake van een onderneming.
      - Kapitaal: Kapitaal is voor veel ondernemingen noodzakelijk. Je moet investeren in bijvoorbeeld machines, 
         reclame, inhuur van mensen en verzekeringen. Voldoende kapitaal om een onderneming te starten en enige 
         tijd draaiende te houden, wijst erop dat je mogelijk een onderneming hebt.
      - Tijd: Als je erg veel tijd aan een activiteit besteedt zonder dat dat rendement oplevert, is er meestal geen sprake 
         van een onderneming. Maar je moet wel voldoende tijd aan jouw werkzaamheden besteden om deze rendabel te 
         maken.
      - Opdrachtgevers: Het is jouw doel om meerdere opdrachtgevers te hebben, onder andere om betalings- en 
         continuïteitsrisico's te verkleinen. Als je meerdere opdrachtgevers hebt, ben je minder afhankelijk van een of 
         enkele opdrachtgevers en neemt jouw zelfstandigheid toe.
      - Uitstraling: Je bent voor jouw bestaan afhankelijk van opdrachtgevers. Om ondernemer te zijn, moet je zorgen dat 
        jouw onderneming voldoende bekend is, bijvoorbeeld via reclame, een internetsite, social media, een 
        uithangbord of eigen briefpapier.
      - Ondernemersrisico: Bestaat er een kans dat jouw opdrachtgevers niet betalen? Gebruik je jouw goede naam voor 
        de uitoefening van jouw werkzaamheden? Ben je afhankelijk van de vraag naar en het aanbod van jouw producten 
        en diensten? Loop je 'ondernemersrisico', dan heb je waarschijnlijk een onderneming.
      - Aansprakelijkheid: Als je aansprakelijk bent voor de schulden van jouw onderneming, dan ben je mogelijk 
        ondernemer.</v>
      </c>
      <c r="B315" s="137" t="s">
        <v>1164</v>
      </c>
      <c r="C315" s="137" t="s">
        <v>1101</v>
      </c>
    </row>
    <row r="316" spans="1:5" ht="165.75" x14ac:dyDescent="0.2">
      <c r="A316" s="137" t="str">
        <f>HLOOKUP(Intro!$B$7,$B:$I,ROW(A316),FALSE)</f>
        <v>Je voldoet aan het urencriterium als je:
      - In het kalenderjaar minimaal 1.225 uren aan jouw onderneming(en) hebt besteed. Onderbrak je jouw werk als 
        ondernemer door jouw zwangerschap? Dan tellen de niet-gewerkte uren over totaal 16 weken toch mee als 
        gewerkte uren.
      - Meer tijd moet besteden aan jouw ondernemingen dan aan andere werkzaamheden (bijvoorbeeld in loondienst).
Als je niet het hele jaar ondernemer bent, doordat je bijvoorbeeld in de loop van het jaar bent gestart, moet je toch minimaal 1.225 uren aan jouw onderneming(en) besteden. De 1.225 uren mogen dan niet omgerekend worden naar de periode dat je ondernemer bent.</v>
      </c>
      <c r="B316" s="137" t="s">
        <v>1166</v>
      </c>
      <c r="C316" s="137" t="s">
        <v>1102</v>
      </c>
    </row>
    <row r="317" spans="1:5" x14ac:dyDescent="0.2">
      <c r="A317" s="137" t="str">
        <f>HLOOKUP(Intro!$B$7,$B:$I,ROW(A317),FALSE)</f>
        <v>Bron: Belastingdienst</v>
      </c>
      <c r="B317" s="137" t="s">
        <v>1134</v>
      </c>
      <c r="C317" s="137" t="s">
        <v>1135</v>
      </c>
    </row>
    <row r="320" spans="1:5" x14ac:dyDescent="0.2">
      <c r="A320" s="137" t="str">
        <f>HLOOKUP(Intro!$B$7,$B:$I,ROW(A320),FALSE)</f>
        <v>Gefeliciteerd!</v>
      </c>
      <c r="B320" s="137" t="s">
        <v>859</v>
      </c>
      <c r="C320" s="137" t="s">
        <v>860</v>
      </c>
      <c r="D320" s="137" t="s">
        <v>861</v>
      </c>
      <c r="E320" s="137" t="s">
        <v>862</v>
      </c>
    </row>
    <row r="321" spans="1:5" ht="38.25" x14ac:dyDescent="0.2">
      <c r="A321" s="137" t="str">
        <f>HLOOKUP(Intro!$B$7,$B:$I,ROW(A321),FALSE)</f>
        <v>Je hebt de succesvol module 'De Cijfers' doorlopen. De antwoorden die je hebt in gevuld op de vragen in de e-learning staan op het tabblad 'Mijn Antwoorden'. Als je hieronder op 'Mijn Antwoorden' klikt kun je ze bekijken en eventueel aanpassen.</v>
      </c>
      <c r="B321" s="137" t="s">
        <v>863</v>
      </c>
      <c r="C321" s="137" t="s">
        <v>864</v>
      </c>
      <c r="D321" s="137" t="s">
        <v>865</v>
      </c>
      <c r="E321" s="137" t="s">
        <v>866</v>
      </c>
    </row>
    <row r="322" spans="1:5" x14ac:dyDescent="0.2">
      <c r="A322" s="137" t="str">
        <f>HLOOKUP(Intro!$B$7,$B:$I,ROW(A322),FALSE)</f>
        <v xml:space="preserve">    Mijn Antwoorden</v>
      </c>
      <c r="B322" s="137" t="s">
        <v>867</v>
      </c>
      <c r="C322" s="137" t="s">
        <v>868</v>
      </c>
      <c r="D322" s="137" t="s">
        <v>869</v>
      </c>
      <c r="E322" s="137" t="s">
        <v>870</v>
      </c>
    </row>
    <row r="323" spans="1:5" ht="38.25" x14ac:dyDescent="0.2">
      <c r="A323" s="137" t="str">
        <f>HLOOKUP(Intro!$B$7,$B:$I,ROW(A323),FALSE)</f>
        <v>De antwoorden die je hebt ingevuld zijn verwerkt in dit financieel plan. Met dit plan heb je in beeld wat de financiële verwachtingen van je op te starten onderneming zijn. Klik op de onderstaande begrotingen om ze te bekijken.</v>
      </c>
      <c r="B323" s="137" t="s">
        <v>871</v>
      </c>
      <c r="C323" s="137" t="s">
        <v>872</v>
      </c>
      <c r="D323" s="137" t="s">
        <v>873</v>
      </c>
      <c r="E323" s="137" t="s">
        <v>874</v>
      </c>
    </row>
  </sheetData>
  <sheetProtection algorithmName="SHA-512" hashValue="Aot4ULu+boMEe1D/+QntBkPP/cV6gdH5H5q55BELt+dekrvwS0BXJIdcJ35LpZPtcS9wZ2mT7FY/RKCwjRVrsg==" saltValue="IwEHDabsnpf/pwFy5JABHA==" spinCount="100000" sheet="1" objects="1" scenarios="1"/>
  <conditionalFormatting sqref="B2:C2">
    <cfRule type="containsText" dxfId="8" priority="3" operator="containsText" text="&quot;ALS&quot;">
      <formula>NOT(ISERROR(SEARCH("""ALS""",B2)))</formula>
    </cfRule>
  </conditionalFormatting>
  <conditionalFormatting sqref="B4:C24 B154:E154">
    <cfRule type="containsText" dxfId="7" priority="53" operator="containsText" text="&quot;ALS&quot;">
      <formula>NOT(ISERROR(SEARCH("""ALS""",B4)))</formula>
    </cfRule>
  </conditionalFormatting>
  <conditionalFormatting sqref="B26:C40">
    <cfRule type="containsText" dxfId="6" priority="10" operator="containsText" text="&quot;ALS&quot;">
      <formula>NOT(ISERROR(SEARCH("""ALS""",B26)))</formula>
    </cfRule>
  </conditionalFormatting>
  <conditionalFormatting sqref="B43:C153">
    <cfRule type="containsText" dxfId="5" priority="6" operator="containsText" text="&quot;ALS&quot;">
      <formula>NOT(ISERROR(SEARCH("""ALS""",B43)))</formula>
    </cfRule>
  </conditionalFormatting>
  <conditionalFormatting sqref="B167:C167">
    <cfRule type="containsText" dxfId="4" priority="50" operator="containsText" text="&quot;ALS&quot;">
      <formula>NOT(ISERROR(SEARCH("""ALS""",B167)))</formula>
    </cfRule>
  </conditionalFormatting>
  <conditionalFormatting sqref="B22:E22">
    <cfRule type="containsText" dxfId="3" priority="22" operator="containsText" text="&quot;ALS&quot;">
      <formula>NOT(ISERROR(SEARCH("""ALS""",B22)))</formula>
    </cfRule>
  </conditionalFormatting>
  <conditionalFormatting sqref="C158">
    <cfRule type="containsText" dxfId="2" priority="7" operator="containsText" text="&quot;ALS&quot;">
      <formula>NOT(ISERROR(SEARCH("""ALS""",C158)))</formula>
    </cfRule>
  </conditionalFormatting>
  <conditionalFormatting sqref="D35:E35">
    <cfRule type="containsText" dxfId="1" priority="1" operator="containsText" text="&quot;ALS&quot;">
      <formula>NOT(ISERROR(SEARCH("""ALS""",D35)))</formula>
    </cfRule>
  </conditionalFormatting>
  <conditionalFormatting sqref="D71:E72">
    <cfRule type="containsText" dxfId="0" priority="4" operator="containsText" text="&quot;ALS&quot;">
      <formula>NOT(ISERROR(SEARCH("""ALS""",D71)))</formula>
    </cfRule>
  </conditionalFormatting>
  <hyperlinks>
    <hyperlink ref="B22" r:id="rId1" xr:uid="{09264AB3-D169-400F-A1CC-7729BD76890E}"/>
    <hyperlink ref="C22" r:id="rId2" xr:uid="{83890803-1A66-42A2-890B-EA954A6B50C6}"/>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589b95-514b-41ff-be61-afc861c9d6a2">
      <UserInfo>
        <DisplayName>Lisan ter Heijne</DisplayName>
        <AccountId>393</AccountId>
        <AccountType/>
      </UserInfo>
    </SharedWithUsers>
    <lcf76f155ced4ddcb4097134ff3c332f xmlns="e91dead7-fb7e-4be5-bdd3-7d54b5c756b9">
      <Terms xmlns="http://schemas.microsoft.com/office/infopath/2007/PartnerControls"/>
    </lcf76f155ced4ddcb4097134ff3c332f>
    <TaxCatchAll xmlns="36589b95-514b-41ff-be61-afc861c9d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78E6B882FA864E9419F9CFAC674310" ma:contentTypeVersion="16" ma:contentTypeDescription="Een nieuw document maken." ma:contentTypeScope="" ma:versionID="ba644ef63375258bacd08a0300dac875">
  <xsd:schema xmlns:xsd="http://www.w3.org/2001/XMLSchema" xmlns:xs="http://www.w3.org/2001/XMLSchema" xmlns:p="http://schemas.microsoft.com/office/2006/metadata/properties" xmlns:ns2="e91dead7-fb7e-4be5-bdd3-7d54b5c756b9" xmlns:ns3="36589b95-514b-41ff-be61-afc861c9d6a2" targetNamespace="http://schemas.microsoft.com/office/2006/metadata/properties" ma:root="true" ma:fieldsID="a313793b0cd3aa71a1ac54312c5f2577" ns2:_="" ns3:_="">
    <xsd:import namespace="e91dead7-fb7e-4be5-bdd3-7d54b5c756b9"/>
    <xsd:import namespace="36589b95-514b-41ff-be61-afc861c9d6a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1dead7-fb7e-4be5-bdd3-7d54b5c75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4dd0181-3f1a-4d54-858e-ff4e9e5c2f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589b95-514b-41ff-be61-afc861c9d6a2"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7433639-3f76-4a9e-babe-45ee7951dafb}" ma:internalName="TaxCatchAll" ma:showField="CatchAllData" ma:web="36589b95-514b-41ff-be61-afc861c9d6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46AB6-0177-42B7-A758-5C15E4D047D8}">
  <ds:schemaRefs>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36589b95-514b-41ff-be61-afc861c9d6a2"/>
    <ds:schemaRef ds:uri="e91dead7-fb7e-4be5-bdd3-7d54b5c756b9"/>
    <ds:schemaRef ds:uri="http://www.w3.org/XML/1998/namespace"/>
  </ds:schemaRefs>
</ds:datastoreItem>
</file>

<file path=customXml/itemProps2.xml><?xml version="1.0" encoding="utf-8"?>
<ds:datastoreItem xmlns:ds="http://schemas.openxmlformats.org/officeDocument/2006/customXml" ds:itemID="{5593C6FE-8862-441C-8057-5BE50B4ECD45}">
  <ds:schemaRefs>
    <ds:schemaRef ds:uri="http://schemas.microsoft.com/sharepoint/v3/contenttype/forms"/>
  </ds:schemaRefs>
</ds:datastoreItem>
</file>

<file path=customXml/itemProps3.xml><?xml version="1.0" encoding="utf-8"?>
<ds:datastoreItem xmlns:ds="http://schemas.openxmlformats.org/officeDocument/2006/customXml" ds:itemID="{4CC1B7A4-9370-4AC5-A847-C2D44CAB1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1dead7-fb7e-4be5-bdd3-7d54b5c756b9"/>
    <ds:schemaRef ds:uri="36589b95-514b-41ff-be61-afc861c9d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23</vt:i4>
      </vt:variant>
    </vt:vector>
  </HeadingPairs>
  <TitlesOfParts>
    <vt:vector size="35" baseType="lpstr">
      <vt:lpstr>Intro</vt:lpstr>
      <vt:lpstr>Intro_oud</vt:lpstr>
      <vt:lpstr>VRAGENLIJST</vt:lpstr>
      <vt:lpstr>Investering &amp; Financiering</vt:lpstr>
      <vt:lpstr>Liquiditeit</vt:lpstr>
      <vt:lpstr>Exploitatie</vt:lpstr>
      <vt:lpstr>Qredits maandlasten</vt:lpstr>
      <vt:lpstr>Uitleg aftrekposten</vt:lpstr>
      <vt:lpstr>Vertaling</vt:lpstr>
      <vt:lpstr>Schema</vt:lpstr>
      <vt:lpstr>dropdowns</vt:lpstr>
      <vt:lpstr>IB VPB</vt:lpstr>
      <vt:lpstr>Exploitatie!Afdrukbereik</vt:lpstr>
      <vt:lpstr>Intro!Afdrukbereik</vt:lpstr>
      <vt:lpstr>Intro_oud!Afdrukbereik</vt:lpstr>
      <vt:lpstr>'Investering &amp; Financiering'!Afdrukbereik</vt:lpstr>
      <vt:lpstr>Liquiditeit!Afdrukbereik</vt:lpstr>
      <vt:lpstr>'Qredits maandlasten'!Afdrukbereik</vt:lpstr>
      <vt:lpstr>'Uitleg aftrekposten'!Afdrukbereik</vt:lpstr>
      <vt:lpstr>VRAGENLIJST!Afdrukbereik</vt:lpstr>
      <vt:lpstr>'Qredits maandlasten'!Afdruktitels</vt:lpstr>
      <vt:lpstr>VRAGENLIJST!Afdruktitels</vt:lpstr>
      <vt:lpstr>Aflosmethode</vt:lpstr>
      <vt:lpstr>Betalen</vt:lpstr>
      <vt:lpstr>BTW</vt:lpstr>
      <vt:lpstr>Graceperiod</vt:lpstr>
      <vt:lpstr>Inbreng</vt:lpstr>
      <vt:lpstr>Ja_Nee</vt:lpstr>
      <vt:lpstr>Looptijd</vt:lpstr>
      <vt:lpstr>Maanden6</vt:lpstr>
      <vt:lpstr>Meewerkaftrek</vt:lpstr>
      <vt:lpstr>Ondernemers</vt:lpstr>
      <vt:lpstr>Rechtsvorm</vt:lpstr>
      <vt:lpstr>Select_your_language</vt:lpstr>
      <vt:lpstr>Uitkering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a.wassink</dc:creator>
  <cp:keywords/>
  <dc:description/>
  <cp:lastModifiedBy>Lennart Boeringa</cp:lastModifiedBy>
  <cp:revision/>
  <cp:lastPrinted>2023-08-25T07:44:31Z</cp:lastPrinted>
  <dcterms:created xsi:type="dcterms:W3CDTF">2012-08-24T09:29:24Z</dcterms:created>
  <dcterms:modified xsi:type="dcterms:W3CDTF">2024-03-14T10:41:55Z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0x0101006B78E6B882FA864E9419F9CFAC674310</vt:lpwstr>
  </property>
  <property fmtid="{D5CDD505-2E9C-101B-9397-08002B2CF9AE}" pid="3" name="Order">
    <vt:r8>100</vt:r8>
  </property>
  <property fmtid="{D5CDD505-2E9C-101B-9397-08002B2CF9AE}" pid="4" name="AuthorIds_UIVersion_512">
    <vt:lpwstr>16</vt:lpwstr>
  </property>
  <property fmtid="{D5CDD505-2E9C-101B-9397-08002B2CF9AE}" pid="5" name="MediaServiceImageTags">
    <vt:lpwstr/>
  </property>
</Properties>
</file>