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.boeringa\Documents\Financieel plan\"/>
    </mc:Choice>
  </mc:AlternateContent>
  <xr:revisionPtr revIDLastSave="0" documentId="8_{F57B0B0E-1AC5-47CD-8501-D35A60F64215}" xr6:coauthVersionLast="47" xr6:coauthVersionMax="47" xr10:uidLastSave="{00000000-0000-0000-0000-000000000000}"/>
  <workbookProtection workbookAlgorithmName="SHA-512" workbookHashValue="/Jn9IrFpLpBNJd4Kelg8UF2XmBPvbRHfWckwj9ar8HL9Uq9cVQRYbvoMoVwNkWYdEYaWY3yLd17F5C4KSitD2w==" workbookSaltValue="p8ntzH1SqnOfUTKtWIQT+Q==" workbookSpinCount="100000" lockStructure="1"/>
  <bookViews>
    <workbookView xWindow="28680" yWindow="-120" windowWidth="29040" windowHeight="15840" xr2:uid="{00000000-000D-0000-FFFF-FFFF00000000}"/>
  </bookViews>
  <sheets>
    <sheet name="Rekentool kredieten" sheetId="1" r:id="rId1"/>
    <sheet name="dropdown" sheetId="2" state="hidden" r:id="rId2"/>
    <sheet name="Schema" sheetId="3" state="hidden" r:id="rId3"/>
    <sheet name="Vertaling" sheetId="4" state="hidden" r:id="rId4"/>
  </sheets>
  <definedNames>
    <definedName name="_xlnm.Print_Area" localSheetId="0">'Rekentool kredieten'!$A$1:$O$90</definedName>
    <definedName name="_xlnm.Print_Titles" localSheetId="0">'Rekentool kredieten'!$1:$14</definedName>
    <definedName name="Aflossing">dropdown!$A$24:$A$34</definedName>
    <definedName name="Aflossingsbedrag">dropdown!$D$6</definedName>
    <definedName name="Aflossingsmethode">dropdown!$K$6</definedName>
    <definedName name="Aflosvariant">dropdown!$K$2:$K$3</definedName>
    <definedName name="Annuïteit">OFFSET('Rekentool kredieten'!$A$22,0,'Rekentool kredieten'!$C$11+1,2,1)</definedName>
    <definedName name="APR">dropdown!$D$34</definedName>
    <definedName name="Aruba">dropdown!$Q$2:$Q$5</definedName>
    <definedName name="Bedrag_annuïteit">dropdown!$D$11</definedName>
    <definedName name="Bonaire">dropdown!$R$2:$R$5</definedName>
    <definedName name="Cashflow_met_kosten">OFFSET(Schema!$M$9,0,0,dropdown!$D$12+1,1)</definedName>
    <definedName name="Cashflow_zonder_kosten">OFFSET(Schema!$L$9,0,0,dropdown!$D$12+1,1)</definedName>
    <definedName name="Curacao">dropdown!$S$2:$S$5</definedName>
    <definedName name="Datums">OFFSET(Schema!$C$9,0,0,dropdown!$D$12+1,1)</definedName>
    <definedName name="EffectieveRente">dropdown!$D$33</definedName>
    <definedName name="Garantie">dropdown!$D$8</definedName>
    <definedName name="GemiddeldBedrag">dropdown!$D$10</definedName>
    <definedName name="Ja_Nee">dropdown!$M$2:$M$3</definedName>
    <definedName name="Kosten">dropdown!$D$2</definedName>
    <definedName name="Krediet">dropdown!$I$2:$I$8</definedName>
    <definedName name="Land">dropdown!$O$2:$O$6</definedName>
    <definedName name="Lening">dropdown!$I$10</definedName>
    <definedName name="Looptijd">dropdown!$A$2:$A$21</definedName>
    <definedName name="Looptijd_BMKB">dropdown!$A$2:$A$13</definedName>
    <definedName name="Looptijd_Micro">dropdown!$A$2:$A$11</definedName>
    <definedName name="Nederland">dropdown!$P$2:$P$3</definedName>
    <definedName name="Rente">dropdown!$D$3</definedName>
    <definedName name="Rente_Car">dropdown!$I$19</definedName>
    <definedName name="Rente_NL">dropdown!$I$15:$I$17</definedName>
    <definedName name="Rentekosten">dropdown!$D$4</definedName>
    <definedName name="RenteTotaal">dropdown!$D$9</definedName>
    <definedName name="St.Maarten">dropdown!$T$2:$T$3</definedName>
    <definedName name="Staatssteun1">dropdown!$D$21</definedName>
    <definedName name="Staatssteun2">dropdown!$D$25</definedName>
    <definedName name="Tekst1">dropdown!$C$15</definedName>
    <definedName name="Tekst2">dropdown!$C$16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2" l="1"/>
  <c r="I19" i="2" l="1"/>
  <c r="D3" i="2"/>
  <c r="I16" i="2"/>
  <c r="I17" i="2" s="1"/>
  <c r="K6" i="2" l="1"/>
  <c r="I10" i="2" l="1"/>
  <c r="F2" i="1" l="1"/>
  <c r="D7" i="1" l="1"/>
  <c r="B3" i="4"/>
  <c r="A2" i="1" s="1"/>
  <c r="B4" i="4"/>
  <c r="B4" i="1" s="1"/>
  <c r="B5" i="4"/>
  <c r="B7" i="1" s="1"/>
  <c r="B6" i="4"/>
  <c r="B9" i="1" s="1"/>
  <c r="B7" i="4"/>
  <c r="B11" i="1" s="1"/>
  <c r="B8" i="4"/>
  <c r="B13" i="1" s="1"/>
  <c r="B9" i="4"/>
  <c r="B14" i="1" s="1"/>
  <c r="B10" i="4"/>
  <c r="F4" i="1" s="1"/>
  <c r="B11" i="4"/>
  <c r="F7" i="1" s="1"/>
  <c r="B12" i="4"/>
  <c r="F9" i="1" s="1"/>
  <c r="B14" i="4"/>
  <c r="F13" i="1" s="1"/>
  <c r="B15" i="4"/>
  <c r="J7" i="1" s="1"/>
  <c r="B16" i="4"/>
  <c r="J9" i="1" s="1"/>
  <c r="B17" i="4"/>
  <c r="J11" i="1" s="1"/>
  <c r="B18" i="4"/>
  <c r="J13" i="1" s="1"/>
  <c r="B19" i="4"/>
  <c r="J14" i="1" s="1"/>
  <c r="B20" i="4"/>
  <c r="L7" i="1" s="1"/>
  <c r="B21" i="4"/>
  <c r="B16" i="1" s="1"/>
  <c r="B22" i="4"/>
  <c r="A17" i="1" s="1"/>
  <c r="B23" i="4"/>
  <c r="A19" i="1" s="1"/>
  <c r="B24" i="4"/>
  <c r="B25" i="4"/>
  <c r="B26" i="4"/>
  <c r="B27" i="4"/>
  <c r="A24" i="1" s="1"/>
  <c r="B28" i="4"/>
  <c r="A25" i="1" s="1"/>
  <c r="B29" i="4"/>
  <c r="B30" i="4"/>
  <c r="B31" i="4"/>
  <c r="B2" i="4"/>
  <c r="A1" i="1" s="1"/>
  <c r="A169" i="1" l="1"/>
  <c r="A133" i="1"/>
  <c r="A97" i="1"/>
  <c r="A61" i="1"/>
  <c r="A151" i="1"/>
  <c r="A196" i="1"/>
  <c r="A160" i="1"/>
  <c r="A124" i="1"/>
  <c r="A88" i="1"/>
  <c r="A52" i="1"/>
  <c r="A187" i="1"/>
  <c r="A115" i="1"/>
  <c r="A43" i="1"/>
  <c r="A23" i="1"/>
  <c r="A178" i="1"/>
  <c r="A142" i="1"/>
  <c r="A106" i="1"/>
  <c r="A70" i="1"/>
  <c r="A34" i="1"/>
  <c r="A79" i="1"/>
  <c r="A197" i="1"/>
  <c r="A161" i="1"/>
  <c r="A125" i="1"/>
  <c r="A89" i="1"/>
  <c r="A53" i="1"/>
  <c r="A44" i="1"/>
  <c r="A107" i="1"/>
  <c r="A71" i="1"/>
  <c r="A35" i="1"/>
  <c r="A188" i="1"/>
  <c r="A152" i="1"/>
  <c r="A116" i="1"/>
  <c r="A80" i="1"/>
  <c r="A179" i="1"/>
  <c r="A143" i="1"/>
  <c r="A170" i="1"/>
  <c r="A134" i="1"/>
  <c r="A98" i="1"/>
  <c r="A62" i="1"/>
  <c r="A26" i="1"/>
  <c r="A177" i="1"/>
  <c r="A141" i="1"/>
  <c r="A105" i="1"/>
  <c r="A69" i="1"/>
  <c r="A33" i="1"/>
  <c r="A60" i="1"/>
  <c r="A195" i="1"/>
  <c r="A123" i="1"/>
  <c r="A87" i="1"/>
  <c r="A168" i="1"/>
  <c r="A132" i="1"/>
  <c r="A96" i="1"/>
  <c r="A159" i="1"/>
  <c r="A186" i="1"/>
  <c r="A150" i="1"/>
  <c r="A114" i="1"/>
  <c r="A78" i="1"/>
  <c r="A42" i="1"/>
  <c r="A22" i="1"/>
  <c r="A51" i="1"/>
  <c r="A184" i="1"/>
  <c r="A148" i="1"/>
  <c r="A112" i="1"/>
  <c r="A76" i="1"/>
  <c r="A40" i="1"/>
  <c r="A20" i="1"/>
  <c r="A31" i="1"/>
  <c r="A166" i="1"/>
  <c r="A58" i="1"/>
  <c r="A175" i="1"/>
  <c r="A139" i="1"/>
  <c r="A103" i="1"/>
  <c r="A67" i="1"/>
  <c r="A193" i="1"/>
  <c r="A157" i="1"/>
  <c r="A121" i="1"/>
  <c r="A85" i="1"/>
  <c r="A49" i="1"/>
  <c r="A130" i="1"/>
  <c r="A94" i="1"/>
  <c r="C9" i="3"/>
  <c r="D5" i="2" l="1"/>
  <c r="D12" i="2"/>
  <c r="C10" i="3" l="1"/>
  <c r="D13" i="2"/>
  <c r="B10" i="3" l="1"/>
  <c r="C11" i="3" s="1"/>
  <c r="E9" i="3"/>
  <c r="E10" i="3" s="1"/>
  <c r="F9" i="3" l="1"/>
  <c r="B11" i="3"/>
  <c r="C12" i="3" s="1"/>
  <c r="N199" i="1"/>
  <c r="N118" i="1"/>
  <c r="N127" i="1"/>
  <c r="N136" i="1"/>
  <c r="N145" i="1"/>
  <c r="N154" i="1"/>
  <c r="N163" i="1"/>
  <c r="N172" i="1"/>
  <c r="N181" i="1"/>
  <c r="N190" i="1"/>
  <c r="N55" i="1"/>
  <c r="N64" i="1"/>
  <c r="N73" i="1"/>
  <c r="N82" i="1"/>
  <c r="N91" i="1"/>
  <c r="N100" i="1"/>
  <c r="N109" i="1"/>
  <c r="N46" i="1"/>
  <c r="N37" i="1"/>
  <c r="N28" i="1"/>
  <c r="D20" i="2"/>
  <c r="C30" i="1"/>
  <c r="C39" i="1" s="1"/>
  <c r="C48" i="1" s="1"/>
  <c r="C57" i="1" s="1"/>
  <c r="C66" i="1" s="1"/>
  <c r="C75" i="1" s="1"/>
  <c r="C84" i="1" s="1"/>
  <c r="C93" i="1" s="1"/>
  <c r="C102" i="1" s="1"/>
  <c r="C111" i="1" s="1"/>
  <c r="C120" i="1" s="1"/>
  <c r="C129" i="1" s="1"/>
  <c r="C138" i="1" s="1"/>
  <c r="C147" i="1" s="1"/>
  <c r="C156" i="1" s="1"/>
  <c r="C165" i="1" s="1"/>
  <c r="C174" i="1" s="1"/>
  <c r="C183" i="1" s="1"/>
  <c r="C192" i="1" s="1"/>
  <c r="D30" i="1"/>
  <c r="D39" i="1" s="1"/>
  <c r="D48" i="1" s="1"/>
  <c r="D57" i="1" s="1"/>
  <c r="D66" i="1" s="1"/>
  <c r="D75" i="1" s="1"/>
  <c r="D84" i="1" s="1"/>
  <c r="D93" i="1" s="1"/>
  <c r="D102" i="1" s="1"/>
  <c r="D111" i="1" s="1"/>
  <c r="D120" i="1" s="1"/>
  <c r="D129" i="1" s="1"/>
  <c r="D138" i="1" s="1"/>
  <c r="D147" i="1" s="1"/>
  <c r="D156" i="1" s="1"/>
  <c r="D165" i="1" s="1"/>
  <c r="D174" i="1" s="1"/>
  <c r="D183" i="1" s="1"/>
  <c r="D192" i="1" s="1"/>
  <c r="E30" i="1"/>
  <c r="E39" i="1" s="1"/>
  <c r="E48" i="1" s="1"/>
  <c r="E57" i="1" s="1"/>
  <c r="E66" i="1" s="1"/>
  <c r="E75" i="1" s="1"/>
  <c r="E84" i="1" s="1"/>
  <c r="E93" i="1" s="1"/>
  <c r="E102" i="1" s="1"/>
  <c r="E111" i="1" s="1"/>
  <c r="E120" i="1" s="1"/>
  <c r="E129" i="1" s="1"/>
  <c r="E138" i="1" s="1"/>
  <c r="E147" i="1" s="1"/>
  <c r="E156" i="1" s="1"/>
  <c r="E165" i="1" s="1"/>
  <c r="E174" i="1" s="1"/>
  <c r="E183" i="1" s="1"/>
  <c r="E192" i="1" s="1"/>
  <c r="F30" i="1"/>
  <c r="F39" i="1" s="1"/>
  <c r="F48" i="1" s="1"/>
  <c r="F57" i="1" s="1"/>
  <c r="F66" i="1" s="1"/>
  <c r="F75" i="1" s="1"/>
  <c r="F84" i="1" s="1"/>
  <c r="F93" i="1" s="1"/>
  <c r="F102" i="1" s="1"/>
  <c r="F111" i="1" s="1"/>
  <c r="F120" i="1" s="1"/>
  <c r="F129" i="1" s="1"/>
  <c r="F138" i="1" s="1"/>
  <c r="F147" i="1" s="1"/>
  <c r="F156" i="1" s="1"/>
  <c r="F165" i="1" s="1"/>
  <c r="F174" i="1" s="1"/>
  <c r="F183" i="1" s="1"/>
  <c r="F192" i="1" s="1"/>
  <c r="G30" i="1"/>
  <c r="G39" i="1" s="1"/>
  <c r="G48" i="1" s="1"/>
  <c r="G57" i="1" s="1"/>
  <c r="G66" i="1" s="1"/>
  <c r="G75" i="1" s="1"/>
  <c r="G84" i="1" s="1"/>
  <c r="G93" i="1" s="1"/>
  <c r="G102" i="1" s="1"/>
  <c r="G111" i="1" s="1"/>
  <c r="G120" i="1" s="1"/>
  <c r="G129" i="1" s="1"/>
  <c r="G138" i="1" s="1"/>
  <c r="G147" i="1" s="1"/>
  <c r="G156" i="1" s="1"/>
  <c r="G165" i="1" s="1"/>
  <c r="G174" i="1" s="1"/>
  <c r="G183" i="1" s="1"/>
  <c r="G192" i="1" s="1"/>
  <c r="H30" i="1"/>
  <c r="H39" i="1" s="1"/>
  <c r="H48" i="1" s="1"/>
  <c r="H57" i="1" s="1"/>
  <c r="H66" i="1" s="1"/>
  <c r="H75" i="1" s="1"/>
  <c r="H84" i="1" s="1"/>
  <c r="H93" i="1" s="1"/>
  <c r="H102" i="1" s="1"/>
  <c r="H111" i="1" s="1"/>
  <c r="H120" i="1" s="1"/>
  <c r="H129" i="1" s="1"/>
  <c r="H138" i="1" s="1"/>
  <c r="H147" i="1" s="1"/>
  <c r="H156" i="1" s="1"/>
  <c r="H165" i="1" s="1"/>
  <c r="H174" i="1" s="1"/>
  <c r="H183" i="1" s="1"/>
  <c r="H192" i="1" s="1"/>
  <c r="I30" i="1"/>
  <c r="I39" i="1" s="1"/>
  <c r="I48" i="1" s="1"/>
  <c r="I57" i="1" s="1"/>
  <c r="I66" i="1" s="1"/>
  <c r="I75" i="1" s="1"/>
  <c r="I84" i="1" s="1"/>
  <c r="I93" i="1" s="1"/>
  <c r="I102" i="1" s="1"/>
  <c r="I111" i="1" s="1"/>
  <c r="I120" i="1" s="1"/>
  <c r="I129" i="1" s="1"/>
  <c r="I138" i="1" s="1"/>
  <c r="I147" i="1" s="1"/>
  <c r="I156" i="1" s="1"/>
  <c r="I165" i="1" s="1"/>
  <c r="I174" i="1" s="1"/>
  <c r="I183" i="1" s="1"/>
  <c r="I192" i="1" s="1"/>
  <c r="J30" i="1"/>
  <c r="J39" i="1" s="1"/>
  <c r="J48" i="1" s="1"/>
  <c r="J57" i="1" s="1"/>
  <c r="J66" i="1" s="1"/>
  <c r="J75" i="1" s="1"/>
  <c r="J84" i="1" s="1"/>
  <c r="J93" i="1" s="1"/>
  <c r="J102" i="1" s="1"/>
  <c r="J111" i="1" s="1"/>
  <c r="J120" i="1" s="1"/>
  <c r="J129" i="1" s="1"/>
  <c r="J138" i="1" s="1"/>
  <c r="J147" i="1" s="1"/>
  <c r="J156" i="1" s="1"/>
  <c r="J165" i="1" s="1"/>
  <c r="J174" i="1" s="1"/>
  <c r="J183" i="1" s="1"/>
  <c r="J192" i="1" s="1"/>
  <c r="K30" i="1"/>
  <c r="K39" i="1" s="1"/>
  <c r="K48" i="1" s="1"/>
  <c r="K57" i="1" s="1"/>
  <c r="K66" i="1" s="1"/>
  <c r="K75" i="1" s="1"/>
  <c r="K84" i="1" s="1"/>
  <c r="K93" i="1" s="1"/>
  <c r="K102" i="1" s="1"/>
  <c r="K111" i="1" s="1"/>
  <c r="K120" i="1" s="1"/>
  <c r="K129" i="1" s="1"/>
  <c r="K138" i="1" s="1"/>
  <c r="K147" i="1" s="1"/>
  <c r="K156" i="1" s="1"/>
  <c r="K165" i="1" s="1"/>
  <c r="K174" i="1" s="1"/>
  <c r="K183" i="1" s="1"/>
  <c r="K192" i="1" s="1"/>
  <c r="L30" i="1"/>
  <c r="L39" i="1" s="1"/>
  <c r="L48" i="1" s="1"/>
  <c r="L57" i="1" s="1"/>
  <c r="L66" i="1" s="1"/>
  <c r="L75" i="1" s="1"/>
  <c r="L84" i="1" s="1"/>
  <c r="L93" i="1" s="1"/>
  <c r="L102" i="1" s="1"/>
  <c r="L111" i="1" s="1"/>
  <c r="L120" i="1" s="1"/>
  <c r="L129" i="1" s="1"/>
  <c r="L138" i="1" s="1"/>
  <c r="L147" i="1" s="1"/>
  <c r="L156" i="1" s="1"/>
  <c r="L165" i="1" s="1"/>
  <c r="L174" i="1" s="1"/>
  <c r="L183" i="1" s="1"/>
  <c r="L192" i="1" s="1"/>
  <c r="M30" i="1"/>
  <c r="M39" i="1" s="1"/>
  <c r="M48" i="1" s="1"/>
  <c r="M57" i="1" s="1"/>
  <c r="M66" i="1" s="1"/>
  <c r="M75" i="1" s="1"/>
  <c r="M84" i="1" s="1"/>
  <c r="M93" i="1" s="1"/>
  <c r="M102" i="1" s="1"/>
  <c r="M111" i="1" s="1"/>
  <c r="M120" i="1" s="1"/>
  <c r="M129" i="1" s="1"/>
  <c r="M138" i="1" s="1"/>
  <c r="M147" i="1" s="1"/>
  <c r="M156" i="1" s="1"/>
  <c r="M165" i="1" s="1"/>
  <c r="M174" i="1" s="1"/>
  <c r="M183" i="1" s="1"/>
  <c r="M192" i="1" s="1"/>
  <c r="B30" i="1"/>
  <c r="B39" i="1" l="1"/>
  <c r="A30" i="1"/>
  <c r="C13" i="4"/>
  <c r="D13" i="4"/>
  <c r="B48" i="1"/>
  <c r="A39" i="1"/>
  <c r="C16" i="1"/>
  <c r="B20" i="1"/>
  <c r="B28" i="1" s="1"/>
  <c r="B12" i="3"/>
  <c r="C13" i="3" s="1"/>
  <c r="A3" i="3"/>
  <c r="B13" i="4" l="1"/>
  <c r="F11" i="1" s="1"/>
  <c r="B57" i="1"/>
  <c r="A48" i="1"/>
  <c r="D7" i="2"/>
  <c r="D1" i="2"/>
  <c r="T10" i="2" s="1"/>
  <c r="B13" i="3"/>
  <c r="C14" i="3" s="1"/>
  <c r="C14" i="2"/>
  <c r="P10" i="2" l="1"/>
  <c r="Q10" i="2"/>
  <c r="S10" i="2"/>
  <c r="R10" i="2"/>
  <c r="D25" i="2"/>
  <c r="B66" i="1"/>
  <c r="A57" i="1"/>
  <c r="D6" i="2"/>
  <c r="S9" i="3"/>
  <c r="I9" i="3"/>
  <c r="L9" i="3" s="1"/>
  <c r="D8" i="2"/>
  <c r="K11" i="1" s="1"/>
  <c r="B25" i="1" s="1"/>
  <c r="O25" i="1" s="1"/>
  <c r="B14" i="3"/>
  <c r="C15" i="3" s="1"/>
  <c r="C16" i="2"/>
  <c r="C15" i="2"/>
  <c r="D4" i="2" l="1"/>
  <c r="P9" i="3" s="1"/>
  <c r="O10" i="2"/>
  <c r="D2" i="2" s="1"/>
  <c r="D28" i="2" s="1"/>
  <c r="B75" i="1"/>
  <c r="A66" i="1"/>
  <c r="J9" i="3"/>
  <c r="B15" i="3"/>
  <c r="C16" i="3" s="1"/>
  <c r="O14" i="3" l="1"/>
  <c r="T9" i="3"/>
  <c r="S10" i="3" s="1"/>
  <c r="D11" i="2"/>
  <c r="E9" i="2" s="1"/>
  <c r="D9" i="2" s="1"/>
  <c r="G13" i="1" s="1"/>
  <c r="O11" i="3"/>
  <c r="P10" i="3"/>
  <c r="O13" i="3"/>
  <c r="P13" i="3"/>
  <c r="P11" i="3"/>
  <c r="O12" i="3"/>
  <c r="E10" i="2"/>
  <c r="B22" i="1"/>
  <c r="P14" i="3"/>
  <c r="O10" i="3"/>
  <c r="P12" i="3"/>
  <c r="O9" i="3"/>
  <c r="B84" i="1"/>
  <c r="A75" i="1"/>
  <c r="G9" i="1"/>
  <c r="B24" i="1" s="1"/>
  <c r="O24" i="1" s="1"/>
  <c r="M9" i="3"/>
  <c r="I10" i="3"/>
  <c r="V9" i="3"/>
  <c r="B16" i="3"/>
  <c r="C17" i="3" s="1"/>
  <c r="P15" i="3"/>
  <c r="O15" i="3"/>
  <c r="G11" i="1" l="1"/>
  <c r="B23" i="1" s="1"/>
  <c r="C20" i="1" s="1"/>
  <c r="C22" i="1" s="1"/>
  <c r="U9" i="3"/>
  <c r="B93" i="1"/>
  <c r="A84" i="1"/>
  <c r="B17" i="3"/>
  <c r="C18" i="3" s="1"/>
  <c r="P16" i="3"/>
  <c r="O16" i="3"/>
  <c r="B26" i="1" l="1"/>
  <c r="C23" i="1"/>
  <c r="D20" i="1" s="1"/>
  <c r="D22" i="1" s="1"/>
  <c r="C28" i="1"/>
  <c r="B102" i="1"/>
  <c r="A93" i="1"/>
  <c r="B18" i="3"/>
  <c r="C19" i="3" s="1"/>
  <c r="P17" i="3"/>
  <c r="O17" i="3"/>
  <c r="C26" i="1" l="1"/>
  <c r="D28" i="1"/>
  <c r="D23" i="1"/>
  <c r="E20" i="1" s="1"/>
  <c r="E28" i="1" s="1"/>
  <c r="A102" i="1"/>
  <c r="B111" i="1"/>
  <c r="B19" i="3"/>
  <c r="C20" i="3" s="1"/>
  <c r="P18" i="3"/>
  <c r="O18" i="3"/>
  <c r="D26" i="1" l="1"/>
  <c r="E22" i="1"/>
  <c r="E23" i="1"/>
  <c r="F20" i="1" s="1"/>
  <c r="F22" i="1" s="1"/>
  <c r="B120" i="1"/>
  <c r="A111" i="1"/>
  <c r="B20" i="3"/>
  <c r="C21" i="3" s="1"/>
  <c r="P19" i="3"/>
  <c r="O19" i="3"/>
  <c r="F28" i="1" l="1"/>
  <c r="F23" i="1"/>
  <c r="G20" i="1" s="1"/>
  <c r="G23" i="1" s="1"/>
  <c r="H20" i="1" s="1"/>
  <c r="E26" i="1"/>
  <c r="B129" i="1"/>
  <c r="A120" i="1"/>
  <c r="B21" i="3"/>
  <c r="C22" i="3" s="1"/>
  <c r="P20" i="3"/>
  <c r="O20" i="3"/>
  <c r="F26" i="1" l="1"/>
  <c r="G22" i="1"/>
  <c r="G26" i="1" s="1"/>
  <c r="G28" i="1"/>
  <c r="B138" i="1"/>
  <c r="A129" i="1"/>
  <c r="B22" i="3"/>
  <c r="C23" i="3" s="1"/>
  <c r="P21" i="3"/>
  <c r="O21" i="3"/>
  <c r="H28" i="1"/>
  <c r="H22" i="1"/>
  <c r="H23" i="1"/>
  <c r="I20" i="1" s="1"/>
  <c r="B147" i="1" l="1"/>
  <c r="A138" i="1"/>
  <c r="B23" i="3"/>
  <c r="C24" i="3" s="1"/>
  <c r="P22" i="3"/>
  <c r="O22" i="3"/>
  <c r="I22" i="1"/>
  <c r="I28" i="1"/>
  <c r="I23" i="1"/>
  <c r="J20" i="1" s="1"/>
  <c r="H26" i="1"/>
  <c r="B156" i="1" l="1"/>
  <c r="A147" i="1"/>
  <c r="B24" i="3"/>
  <c r="C25" i="3" s="1"/>
  <c r="P23" i="3"/>
  <c r="O23" i="3"/>
  <c r="J22" i="1"/>
  <c r="J23" i="1"/>
  <c r="K20" i="1" s="1"/>
  <c r="J28" i="1"/>
  <c r="I26" i="1"/>
  <c r="B165" i="1" l="1"/>
  <c r="A156" i="1"/>
  <c r="B25" i="3"/>
  <c r="C26" i="3" s="1"/>
  <c r="P24" i="3"/>
  <c r="O24" i="3"/>
  <c r="K23" i="1"/>
  <c r="L20" i="1" s="1"/>
  <c r="K28" i="1"/>
  <c r="K22" i="1"/>
  <c r="J26" i="1"/>
  <c r="A165" i="1" l="1"/>
  <c r="B174" i="1"/>
  <c r="B26" i="3"/>
  <c r="C27" i="3" s="1"/>
  <c r="P25" i="3"/>
  <c r="O25" i="3"/>
  <c r="K26" i="1"/>
  <c r="L22" i="1"/>
  <c r="L23" i="1"/>
  <c r="M20" i="1" s="1"/>
  <c r="L28" i="1"/>
  <c r="B183" i="1" l="1"/>
  <c r="A174" i="1"/>
  <c r="B27" i="3"/>
  <c r="C28" i="3" s="1"/>
  <c r="P26" i="3"/>
  <c r="O26" i="3"/>
  <c r="M23" i="1"/>
  <c r="O23" i="1" s="1"/>
  <c r="M22" i="1"/>
  <c r="O20" i="1"/>
  <c r="M28" i="1"/>
  <c r="O28" i="1" s="1"/>
  <c r="L26" i="1"/>
  <c r="B192" i="1" l="1"/>
  <c r="A192" i="1" s="1"/>
  <c r="A183" i="1"/>
  <c r="B28" i="3"/>
  <c r="C29" i="3" s="1"/>
  <c r="P27" i="3"/>
  <c r="O27" i="3"/>
  <c r="B31" i="1"/>
  <c r="B34" i="1" s="1"/>
  <c r="M26" i="1"/>
  <c r="O22" i="1"/>
  <c r="B29" i="3" l="1"/>
  <c r="C30" i="3" s="1"/>
  <c r="P28" i="3"/>
  <c r="O28" i="3"/>
  <c r="B33" i="1"/>
  <c r="B35" i="1" s="1"/>
  <c r="B37" i="1"/>
  <c r="D27" i="2"/>
  <c r="D29" i="2" s="1"/>
  <c r="O26" i="1"/>
  <c r="C31" i="1"/>
  <c r="B30" i="3" l="1"/>
  <c r="C31" i="3" s="1"/>
  <c r="P29" i="3"/>
  <c r="O29" i="3"/>
  <c r="C37" i="1"/>
  <c r="C33" i="1"/>
  <c r="C34" i="1"/>
  <c r="B31" i="3" l="1"/>
  <c r="C32" i="3" s="1"/>
  <c r="P30" i="3"/>
  <c r="O30" i="3"/>
  <c r="D31" i="1"/>
  <c r="C35" i="1"/>
  <c r="B32" i="3" l="1"/>
  <c r="C33" i="3" s="1"/>
  <c r="P31" i="3"/>
  <c r="O31" i="3"/>
  <c r="D37" i="1"/>
  <c r="D33" i="1"/>
  <c r="D34" i="1"/>
  <c r="E31" i="1" s="1"/>
  <c r="B33" i="3" l="1"/>
  <c r="C34" i="3" s="1"/>
  <c r="P32" i="3"/>
  <c r="O32" i="3"/>
  <c r="E37" i="1"/>
  <c r="E33" i="1"/>
  <c r="E34" i="1"/>
  <c r="F31" i="1" s="1"/>
  <c r="D35" i="1"/>
  <c r="B34" i="3" l="1"/>
  <c r="C35" i="3" s="1"/>
  <c r="P33" i="3"/>
  <c r="O33" i="3"/>
  <c r="F34" i="1"/>
  <c r="G31" i="1" s="1"/>
  <c r="F33" i="1"/>
  <c r="F37" i="1"/>
  <c r="E35" i="1"/>
  <c r="B35" i="3" l="1"/>
  <c r="C36" i="3" s="1"/>
  <c r="P34" i="3"/>
  <c r="O34" i="3"/>
  <c r="F35" i="1"/>
  <c r="G37" i="1"/>
  <c r="G33" i="1"/>
  <c r="G34" i="1"/>
  <c r="H31" i="1" s="1"/>
  <c r="B36" i="3" l="1"/>
  <c r="C37" i="3" s="1"/>
  <c r="P35" i="3"/>
  <c r="O35" i="3"/>
  <c r="H33" i="1"/>
  <c r="H37" i="1"/>
  <c r="H34" i="1"/>
  <c r="I31" i="1" s="1"/>
  <c r="G35" i="1"/>
  <c r="B37" i="3" l="1"/>
  <c r="C38" i="3" s="1"/>
  <c r="P36" i="3"/>
  <c r="O36" i="3"/>
  <c r="H35" i="1"/>
  <c r="I37" i="1"/>
  <c r="I33" i="1"/>
  <c r="I34" i="1"/>
  <c r="J31" i="1" s="1"/>
  <c r="B38" i="3" l="1"/>
  <c r="C39" i="3" s="1"/>
  <c r="P37" i="3"/>
  <c r="O37" i="3"/>
  <c r="J34" i="1"/>
  <c r="K31" i="1" s="1"/>
  <c r="J33" i="1"/>
  <c r="J37" i="1"/>
  <c r="I35" i="1"/>
  <c r="B39" i="3" l="1"/>
  <c r="C40" i="3" s="1"/>
  <c r="P38" i="3"/>
  <c r="O38" i="3"/>
  <c r="K37" i="1"/>
  <c r="K33" i="1"/>
  <c r="K34" i="1"/>
  <c r="L31" i="1" s="1"/>
  <c r="J35" i="1"/>
  <c r="B40" i="3" l="1"/>
  <c r="C41" i="3" s="1"/>
  <c r="O39" i="3"/>
  <c r="P39" i="3"/>
  <c r="L33" i="1"/>
  <c r="L37" i="1"/>
  <c r="L34" i="1"/>
  <c r="M31" i="1" s="1"/>
  <c r="K35" i="1"/>
  <c r="B41" i="3" l="1"/>
  <c r="C42" i="3" s="1"/>
  <c r="P40" i="3"/>
  <c r="O40" i="3"/>
  <c r="O31" i="1"/>
  <c r="M34" i="1"/>
  <c r="O34" i="1" s="1"/>
  <c r="M37" i="1"/>
  <c r="O37" i="1" s="1"/>
  <c r="M33" i="1"/>
  <c r="L35" i="1"/>
  <c r="B42" i="3" l="1"/>
  <c r="C43" i="3" s="1"/>
  <c r="O41" i="3"/>
  <c r="P41" i="3"/>
  <c r="M35" i="1"/>
  <c r="O33" i="1"/>
  <c r="O35" i="1" s="1"/>
  <c r="B40" i="1"/>
  <c r="B43" i="3" l="1"/>
  <c r="C44" i="3" s="1"/>
  <c r="P42" i="3"/>
  <c r="O42" i="3"/>
  <c r="B42" i="1"/>
  <c r="B43" i="1"/>
  <c r="C40" i="1" s="1"/>
  <c r="B46" i="1"/>
  <c r="B44" i="3" l="1"/>
  <c r="C45" i="3" s="1"/>
  <c r="O43" i="3"/>
  <c r="P43" i="3"/>
  <c r="C42" i="1"/>
  <c r="C46" i="1"/>
  <c r="C43" i="1"/>
  <c r="B44" i="1"/>
  <c r="B45" i="3" l="1"/>
  <c r="C46" i="3" s="1"/>
  <c r="P44" i="3"/>
  <c r="O44" i="3"/>
  <c r="D40" i="1"/>
  <c r="C44" i="1"/>
  <c r="B46" i="3" l="1"/>
  <c r="C47" i="3" s="1"/>
  <c r="P45" i="3"/>
  <c r="O45" i="3"/>
  <c r="D43" i="1"/>
  <c r="E40" i="1" s="1"/>
  <c r="D42" i="1"/>
  <c r="D46" i="1"/>
  <c r="B47" i="3" l="1"/>
  <c r="C48" i="3" s="1"/>
  <c r="P46" i="3"/>
  <c r="O46" i="3"/>
  <c r="E43" i="1"/>
  <c r="F40" i="1" s="1"/>
  <c r="E46" i="1"/>
  <c r="E42" i="1"/>
  <c r="D44" i="1"/>
  <c r="B48" i="3" l="1"/>
  <c r="C49" i="3" s="1"/>
  <c r="P47" i="3"/>
  <c r="O47" i="3"/>
  <c r="E44" i="1"/>
  <c r="F46" i="1"/>
  <c r="F42" i="1"/>
  <c r="F43" i="1"/>
  <c r="G40" i="1" s="1"/>
  <c r="B49" i="3" l="1"/>
  <c r="C50" i="3" s="1"/>
  <c r="P48" i="3"/>
  <c r="O48" i="3"/>
  <c r="G43" i="1"/>
  <c r="H40" i="1" s="1"/>
  <c r="G42" i="1"/>
  <c r="G46" i="1"/>
  <c r="F44" i="1"/>
  <c r="B50" i="3" l="1"/>
  <c r="C51" i="3" s="1"/>
  <c r="P49" i="3"/>
  <c r="O49" i="3"/>
  <c r="G44" i="1"/>
  <c r="H42" i="1"/>
  <c r="H43" i="1"/>
  <c r="I40" i="1" s="1"/>
  <c r="H46" i="1"/>
  <c r="B51" i="3" l="1"/>
  <c r="C52" i="3" s="1"/>
  <c r="P50" i="3"/>
  <c r="O50" i="3"/>
  <c r="I42" i="1"/>
  <c r="I43" i="1"/>
  <c r="J40" i="1" s="1"/>
  <c r="I46" i="1"/>
  <c r="H44" i="1"/>
  <c r="B52" i="3" l="1"/>
  <c r="C53" i="3" s="1"/>
  <c r="P51" i="3"/>
  <c r="O51" i="3"/>
  <c r="J46" i="1"/>
  <c r="J42" i="1"/>
  <c r="J43" i="1"/>
  <c r="K40" i="1" s="1"/>
  <c r="I44" i="1"/>
  <c r="B53" i="3" l="1"/>
  <c r="C54" i="3" s="1"/>
  <c r="P52" i="3"/>
  <c r="O52" i="3"/>
  <c r="K42" i="1"/>
  <c r="K46" i="1"/>
  <c r="K43" i="1"/>
  <c r="L40" i="1" s="1"/>
  <c r="J44" i="1"/>
  <c r="B54" i="3" l="1"/>
  <c r="C55" i="3" s="1"/>
  <c r="P53" i="3"/>
  <c r="O53" i="3"/>
  <c r="L42" i="1"/>
  <c r="L43" i="1"/>
  <c r="M40" i="1" s="1"/>
  <c r="L46" i="1"/>
  <c r="K44" i="1"/>
  <c r="B55" i="3" l="1"/>
  <c r="C56" i="3" s="1"/>
  <c r="P54" i="3"/>
  <c r="O54" i="3"/>
  <c r="M46" i="1"/>
  <c r="O46" i="1" s="1"/>
  <c r="M43" i="1"/>
  <c r="O43" i="1" s="1"/>
  <c r="O40" i="1"/>
  <c r="M42" i="1"/>
  <c r="L44" i="1"/>
  <c r="B56" i="3" l="1"/>
  <c r="C57" i="3" s="1"/>
  <c r="P55" i="3"/>
  <c r="O55" i="3"/>
  <c r="B49" i="1"/>
  <c r="M44" i="1"/>
  <c r="O42" i="1"/>
  <c r="O44" i="1" s="1"/>
  <c r="B57" i="3" l="1"/>
  <c r="C58" i="3" s="1"/>
  <c r="P56" i="3"/>
  <c r="O56" i="3"/>
  <c r="B52" i="1"/>
  <c r="C49" i="1" s="1"/>
  <c r="B55" i="1"/>
  <c r="B51" i="1"/>
  <c r="B58" i="3" l="1"/>
  <c r="C59" i="3" s="1"/>
  <c r="P57" i="3"/>
  <c r="O57" i="3"/>
  <c r="C51" i="1"/>
  <c r="C52" i="1"/>
  <c r="D49" i="1" s="1"/>
  <c r="C55" i="1"/>
  <c r="B53" i="1"/>
  <c r="B59" i="3" l="1"/>
  <c r="C60" i="3" s="1"/>
  <c r="P58" i="3"/>
  <c r="O58" i="3"/>
  <c r="C53" i="1"/>
  <c r="D51" i="1"/>
  <c r="D52" i="1"/>
  <c r="D55" i="1"/>
  <c r="B60" i="3" l="1"/>
  <c r="C61" i="3" s="1"/>
  <c r="P59" i="3"/>
  <c r="O59" i="3"/>
  <c r="D53" i="1"/>
  <c r="E49" i="1"/>
  <c r="B61" i="3" l="1"/>
  <c r="C62" i="3" s="1"/>
  <c r="P60" i="3"/>
  <c r="O60" i="3"/>
  <c r="E55" i="1"/>
  <c r="E52" i="1"/>
  <c r="F49" i="1" s="1"/>
  <c r="E51" i="1"/>
  <c r="B62" i="3" l="1"/>
  <c r="C63" i="3" s="1"/>
  <c r="P61" i="3"/>
  <c r="O61" i="3"/>
  <c r="F55" i="1"/>
  <c r="F51" i="1"/>
  <c r="F52" i="1"/>
  <c r="G49" i="1" s="1"/>
  <c r="E53" i="1"/>
  <c r="B63" i="3" l="1"/>
  <c r="C64" i="3" s="1"/>
  <c r="P62" i="3"/>
  <c r="O62" i="3"/>
  <c r="G52" i="1"/>
  <c r="H49" i="1" s="1"/>
  <c r="G55" i="1"/>
  <c r="G51" i="1"/>
  <c r="F53" i="1"/>
  <c r="B64" i="3" l="1"/>
  <c r="C65" i="3" s="1"/>
  <c r="P63" i="3"/>
  <c r="O63" i="3"/>
  <c r="G53" i="1"/>
  <c r="H51" i="1"/>
  <c r="H52" i="1"/>
  <c r="I49" i="1" s="1"/>
  <c r="H55" i="1"/>
  <c r="B65" i="3" l="1"/>
  <c r="C66" i="3" s="1"/>
  <c r="P64" i="3"/>
  <c r="O64" i="3"/>
  <c r="I55" i="1"/>
  <c r="I52" i="1"/>
  <c r="J49" i="1" s="1"/>
  <c r="I51" i="1"/>
  <c r="H53" i="1"/>
  <c r="B66" i="3" l="1"/>
  <c r="C67" i="3" s="1"/>
  <c r="P65" i="3"/>
  <c r="O65" i="3"/>
  <c r="I53" i="1"/>
  <c r="J51" i="1"/>
  <c r="J55" i="1"/>
  <c r="J52" i="1"/>
  <c r="K49" i="1" s="1"/>
  <c r="B67" i="3" l="1"/>
  <c r="C68" i="3" s="1"/>
  <c r="P66" i="3"/>
  <c r="O66" i="3"/>
  <c r="K55" i="1"/>
  <c r="K51" i="1"/>
  <c r="K52" i="1"/>
  <c r="L49" i="1" s="1"/>
  <c r="J53" i="1"/>
  <c r="B68" i="3" l="1"/>
  <c r="C69" i="3" s="1"/>
  <c r="P67" i="3"/>
  <c r="O67" i="3"/>
  <c r="L52" i="1"/>
  <c r="M49" i="1" s="1"/>
  <c r="L51" i="1"/>
  <c r="L55" i="1"/>
  <c r="K53" i="1"/>
  <c r="B69" i="3" l="1"/>
  <c r="P68" i="3"/>
  <c r="O68" i="3"/>
  <c r="L53" i="1"/>
  <c r="M52" i="1"/>
  <c r="O52" i="1" s="1"/>
  <c r="M51" i="1"/>
  <c r="O49" i="1"/>
  <c r="M55" i="1"/>
  <c r="O55" i="1" s="1"/>
  <c r="C70" i="3" l="1"/>
  <c r="B70" i="3"/>
  <c r="O69" i="3"/>
  <c r="P69" i="3"/>
  <c r="M53" i="1"/>
  <c r="O51" i="1"/>
  <c r="O53" i="1" s="1"/>
  <c r="B58" i="1"/>
  <c r="C71" i="3" l="1"/>
  <c r="O70" i="3"/>
  <c r="B71" i="3"/>
  <c r="P70" i="3"/>
  <c r="B60" i="1"/>
  <c r="B61" i="1"/>
  <c r="C58" i="1" s="1"/>
  <c r="B64" i="1"/>
  <c r="C72" i="3" l="1"/>
  <c r="O71" i="3"/>
  <c r="B72" i="3"/>
  <c r="P71" i="3"/>
  <c r="C60" i="1"/>
  <c r="C64" i="1"/>
  <c r="C61" i="1"/>
  <c r="B62" i="1"/>
  <c r="C73" i="3" l="1"/>
  <c r="O72" i="3"/>
  <c r="B73" i="3"/>
  <c r="P72" i="3"/>
  <c r="D58" i="1"/>
  <c r="C62" i="1"/>
  <c r="C74" i="3" l="1"/>
  <c r="P73" i="3"/>
  <c r="B74" i="3"/>
  <c r="O73" i="3"/>
  <c r="D60" i="1"/>
  <c r="D64" i="1"/>
  <c r="D61" i="1"/>
  <c r="C75" i="3" l="1"/>
  <c r="P74" i="3"/>
  <c r="B75" i="3"/>
  <c r="O74" i="3"/>
  <c r="E58" i="1"/>
  <c r="D62" i="1"/>
  <c r="C76" i="3" l="1"/>
  <c r="B76" i="3"/>
  <c r="O75" i="3"/>
  <c r="P75" i="3"/>
  <c r="E60" i="1"/>
  <c r="E61" i="1"/>
  <c r="F58" i="1" s="1"/>
  <c r="E64" i="1"/>
  <c r="C77" i="3" l="1"/>
  <c r="B77" i="3"/>
  <c r="O76" i="3"/>
  <c r="P76" i="3"/>
  <c r="F61" i="1"/>
  <c r="G58" i="1" s="1"/>
  <c r="F60" i="1"/>
  <c r="F64" i="1"/>
  <c r="E62" i="1"/>
  <c r="C78" i="3" l="1"/>
  <c r="P77" i="3"/>
  <c r="O77" i="3"/>
  <c r="B78" i="3"/>
  <c r="G64" i="1"/>
  <c r="G61" i="1"/>
  <c r="H58" i="1" s="1"/>
  <c r="G60" i="1"/>
  <c r="F62" i="1"/>
  <c r="C79" i="3" l="1"/>
  <c r="B79" i="3"/>
  <c r="O78" i="3"/>
  <c r="P78" i="3"/>
  <c r="H64" i="1"/>
  <c r="H61" i="1"/>
  <c r="I58" i="1" s="1"/>
  <c r="H60" i="1"/>
  <c r="G62" i="1"/>
  <c r="C80" i="3" l="1"/>
  <c r="P79" i="3"/>
  <c r="B80" i="3"/>
  <c r="O79" i="3"/>
  <c r="H62" i="1"/>
  <c r="I60" i="1"/>
  <c r="I64" i="1"/>
  <c r="I61" i="1"/>
  <c r="J58" i="1" s="1"/>
  <c r="C81" i="3" l="1"/>
  <c r="B81" i="3"/>
  <c r="P80" i="3"/>
  <c r="O80" i="3"/>
  <c r="J64" i="1"/>
  <c r="J60" i="1"/>
  <c r="J61" i="1"/>
  <c r="K58" i="1" s="1"/>
  <c r="I62" i="1"/>
  <c r="C82" i="3" l="1"/>
  <c r="O81" i="3"/>
  <c r="P81" i="3"/>
  <c r="B82" i="3"/>
  <c r="K60" i="1"/>
  <c r="K64" i="1"/>
  <c r="K61" i="1"/>
  <c r="L58" i="1" s="1"/>
  <c r="J62" i="1"/>
  <c r="C83" i="3" l="1"/>
  <c r="B83" i="3"/>
  <c r="P82" i="3"/>
  <c r="O82" i="3"/>
  <c r="L64" i="1"/>
  <c r="L61" i="1"/>
  <c r="M58" i="1" s="1"/>
  <c r="L60" i="1"/>
  <c r="K62" i="1"/>
  <c r="C84" i="3" l="1"/>
  <c r="B84" i="3"/>
  <c r="P83" i="3"/>
  <c r="O83" i="3"/>
  <c r="L62" i="1"/>
  <c r="O58" i="1"/>
  <c r="M64" i="1"/>
  <c r="O64" i="1" s="1"/>
  <c r="M61" i="1"/>
  <c r="O61" i="1" s="1"/>
  <c r="M60" i="1"/>
  <c r="C85" i="3" l="1"/>
  <c r="O84" i="3"/>
  <c r="P84" i="3"/>
  <c r="B85" i="3"/>
  <c r="M62" i="1"/>
  <c r="O60" i="1"/>
  <c r="O62" i="1" s="1"/>
  <c r="B67" i="1"/>
  <c r="C86" i="3" l="1"/>
  <c r="B86" i="3"/>
  <c r="O85" i="3"/>
  <c r="P85" i="3"/>
  <c r="B70" i="1"/>
  <c r="C67" i="1" s="1"/>
  <c r="B73" i="1"/>
  <c r="B69" i="1"/>
  <c r="C87" i="3" l="1"/>
  <c r="O86" i="3"/>
  <c r="B87" i="3"/>
  <c r="P86" i="3"/>
  <c r="B71" i="1"/>
  <c r="C73" i="1"/>
  <c r="C70" i="1"/>
  <c r="D67" i="1" s="1"/>
  <c r="C69" i="1"/>
  <c r="C88" i="3" l="1"/>
  <c r="P87" i="3"/>
  <c r="O87" i="3"/>
  <c r="B88" i="3"/>
  <c r="C71" i="1"/>
  <c r="D73" i="1"/>
  <c r="D69" i="1"/>
  <c r="D70" i="1"/>
  <c r="C89" i="3" l="1"/>
  <c r="P88" i="3"/>
  <c r="B89" i="3"/>
  <c r="O88" i="3"/>
  <c r="D71" i="1"/>
  <c r="E67" i="1"/>
  <c r="C90" i="3" l="1"/>
  <c r="B90" i="3"/>
  <c r="O89" i="3"/>
  <c r="P89" i="3"/>
  <c r="E69" i="1"/>
  <c r="E70" i="1"/>
  <c r="E73" i="1"/>
  <c r="C91" i="3" l="1"/>
  <c r="P90" i="3"/>
  <c r="O90" i="3"/>
  <c r="B91" i="3"/>
  <c r="E71" i="1"/>
  <c r="F67" i="1"/>
  <c r="C92" i="3" l="1"/>
  <c r="O91" i="3"/>
  <c r="B92" i="3"/>
  <c r="P91" i="3"/>
  <c r="F70" i="1"/>
  <c r="G67" i="1" s="1"/>
  <c r="F73" i="1"/>
  <c r="F69" i="1"/>
  <c r="C93" i="3" l="1"/>
  <c r="B93" i="3"/>
  <c r="G69" i="1"/>
  <c r="G70" i="1"/>
  <c r="H67" i="1" s="1"/>
  <c r="G73" i="1"/>
  <c r="F71" i="1"/>
  <c r="C94" i="3" l="1"/>
  <c r="B94" i="3"/>
  <c r="H73" i="1"/>
  <c r="H69" i="1"/>
  <c r="H70" i="1"/>
  <c r="I67" i="1" s="1"/>
  <c r="G71" i="1"/>
  <c r="C95" i="3" l="1"/>
  <c r="B95" i="3"/>
  <c r="I69" i="1"/>
  <c r="I70" i="1"/>
  <c r="J67" i="1" s="1"/>
  <c r="I73" i="1"/>
  <c r="H71" i="1"/>
  <c r="C96" i="3" l="1"/>
  <c r="B96" i="3"/>
  <c r="J70" i="1"/>
  <c r="K67" i="1" s="1"/>
  <c r="J69" i="1"/>
  <c r="J73" i="1"/>
  <c r="I71" i="1"/>
  <c r="C97" i="3" l="1"/>
  <c r="B97" i="3"/>
  <c r="J71" i="1"/>
  <c r="K70" i="1"/>
  <c r="L67" i="1" s="1"/>
  <c r="K73" i="1"/>
  <c r="K69" i="1"/>
  <c r="C98" i="3" l="1"/>
  <c r="B98" i="3"/>
  <c r="K71" i="1"/>
  <c r="L73" i="1"/>
  <c r="L70" i="1"/>
  <c r="M67" i="1" s="1"/>
  <c r="L69" i="1"/>
  <c r="C99" i="3" l="1"/>
  <c r="B99" i="3"/>
  <c r="L71" i="1"/>
  <c r="M70" i="1"/>
  <c r="O70" i="1" s="1"/>
  <c r="O67" i="1"/>
  <c r="M69" i="1"/>
  <c r="M73" i="1"/>
  <c r="O73" i="1" s="1"/>
  <c r="C100" i="3" l="1"/>
  <c r="B100" i="3"/>
  <c r="M71" i="1"/>
  <c r="O69" i="1"/>
  <c r="O71" i="1" s="1"/>
  <c r="B76" i="1"/>
  <c r="C101" i="3" l="1"/>
  <c r="B101" i="3"/>
  <c r="B78" i="1"/>
  <c r="B79" i="1"/>
  <c r="B82" i="1"/>
  <c r="C102" i="3" l="1"/>
  <c r="B102" i="3"/>
  <c r="C76" i="1"/>
  <c r="B80" i="1"/>
  <c r="C103" i="3" l="1"/>
  <c r="B103" i="3"/>
  <c r="C78" i="1"/>
  <c r="C79" i="1"/>
  <c r="C82" i="1"/>
  <c r="C104" i="3" l="1"/>
  <c r="B104" i="3"/>
  <c r="D76" i="1"/>
  <c r="C80" i="1"/>
  <c r="C105" i="3" l="1"/>
  <c r="B105" i="3"/>
  <c r="D82" i="1"/>
  <c r="D79" i="1"/>
  <c r="E76" i="1" s="1"/>
  <c r="D78" i="1"/>
  <c r="C106" i="3" l="1"/>
  <c r="B106" i="3"/>
  <c r="D80" i="1"/>
  <c r="E82" i="1"/>
  <c r="E79" i="1"/>
  <c r="F76" i="1" s="1"/>
  <c r="E78" i="1"/>
  <c r="C107" i="3" l="1"/>
  <c r="B107" i="3"/>
  <c r="E80" i="1"/>
  <c r="F79" i="1"/>
  <c r="G76" i="1" s="1"/>
  <c r="F82" i="1"/>
  <c r="F78" i="1"/>
  <c r="C108" i="3" l="1"/>
  <c r="B108" i="3"/>
  <c r="G82" i="1"/>
  <c r="G79" i="1"/>
  <c r="H76" i="1" s="1"/>
  <c r="G78" i="1"/>
  <c r="F80" i="1"/>
  <c r="C109" i="3" l="1"/>
  <c r="B109" i="3"/>
  <c r="H78" i="1"/>
  <c r="H79" i="1"/>
  <c r="I76" i="1" s="1"/>
  <c r="H82" i="1"/>
  <c r="G80" i="1"/>
  <c r="C110" i="3" l="1"/>
  <c r="B110" i="3"/>
  <c r="H80" i="1"/>
  <c r="I79" i="1"/>
  <c r="J76" i="1" s="1"/>
  <c r="I82" i="1"/>
  <c r="I78" i="1"/>
  <c r="C111" i="3" l="1"/>
  <c r="B111" i="3"/>
  <c r="I80" i="1"/>
  <c r="J79" i="1"/>
  <c r="K76" i="1" s="1"/>
  <c r="J82" i="1"/>
  <c r="J78" i="1"/>
  <c r="C112" i="3" l="1"/>
  <c r="B112" i="3"/>
  <c r="K79" i="1"/>
  <c r="L76" i="1" s="1"/>
  <c r="K78" i="1"/>
  <c r="K82" i="1"/>
  <c r="J80" i="1"/>
  <c r="C113" i="3" l="1"/>
  <c r="B113" i="3"/>
  <c r="K80" i="1"/>
  <c r="L79" i="1"/>
  <c r="M76" i="1" s="1"/>
  <c r="L82" i="1"/>
  <c r="L78" i="1"/>
  <c r="C114" i="3" l="1"/>
  <c r="B114" i="3"/>
  <c r="L80" i="1"/>
  <c r="M79" i="1"/>
  <c r="O79" i="1" s="1"/>
  <c r="M78" i="1"/>
  <c r="O76" i="1"/>
  <c r="M82" i="1"/>
  <c r="O82" i="1" s="1"/>
  <c r="C115" i="3" l="1"/>
  <c r="B115" i="3"/>
  <c r="B85" i="1"/>
  <c r="M80" i="1"/>
  <c r="O78" i="1"/>
  <c r="O80" i="1" s="1"/>
  <c r="C116" i="3" l="1"/>
  <c r="B116" i="3"/>
  <c r="B87" i="1"/>
  <c r="B88" i="1"/>
  <c r="C85" i="1" s="1"/>
  <c r="B91" i="1"/>
  <c r="C117" i="3" l="1"/>
  <c r="B117" i="3"/>
  <c r="B89" i="1"/>
  <c r="C91" i="1"/>
  <c r="C88" i="1"/>
  <c r="C87" i="1"/>
  <c r="C118" i="3" l="1"/>
  <c r="B118" i="3"/>
  <c r="D85" i="1"/>
  <c r="C89" i="1"/>
  <c r="C119" i="3" l="1"/>
  <c r="B119" i="3"/>
  <c r="D87" i="1"/>
  <c r="D88" i="1"/>
  <c r="E85" i="1" s="1"/>
  <c r="D91" i="1"/>
  <c r="C120" i="3" l="1"/>
  <c r="B120" i="3"/>
  <c r="E87" i="1"/>
  <c r="E91" i="1"/>
  <c r="E88" i="1"/>
  <c r="F85" i="1" s="1"/>
  <c r="D89" i="1"/>
  <c r="C121" i="3" l="1"/>
  <c r="B121" i="3"/>
  <c r="F88" i="1"/>
  <c r="G85" i="1" s="1"/>
  <c r="F91" i="1"/>
  <c r="F87" i="1"/>
  <c r="E89" i="1"/>
  <c r="C122" i="3" l="1"/>
  <c r="B122" i="3"/>
  <c r="G87" i="1"/>
  <c r="G91" i="1"/>
  <c r="G88" i="1"/>
  <c r="H85" i="1" s="1"/>
  <c r="F89" i="1"/>
  <c r="C123" i="3" l="1"/>
  <c r="B123" i="3"/>
  <c r="H88" i="1"/>
  <c r="I85" i="1" s="1"/>
  <c r="H91" i="1"/>
  <c r="H87" i="1"/>
  <c r="G89" i="1"/>
  <c r="C124" i="3" l="1"/>
  <c r="B124" i="3"/>
  <c r="I88" i="1"/>
  <c r="J85" i="1" s="1"/>
  <c r="I91" i="1"/>
  <c r="I87" i="1"/>
  <c r="H89" i="1"/>
  <c r="C125" i="3" l="1"/>
  <c r="B125" i="3"/>
  <c r="J91" i="1"/>
  <c r="J87" i="1"/>
  <c r="J88" i="1"/>
  <c r="K85" i="1" s="1"/>
  <c r="I89" i="1"/>
  <c r="C126" i="3" l="1"/>
  <c r="B126" i="3"/>
  <c r="K87" i="1"/>
  <c r="K88" i="1"/>
  <c r="L85" i="1" s="1"/>
  <c r="K91" i="1"/>
  <c r="J89" i="1"/>
  <c r="C127" i="3" l="1"/>
  <c r="B127" i="3"/>
  <c r="K89" i="1"/>
  <c r="L88" i="1"/>
  <c r="M85" i="1" s="1"/>
  <c r="L91" i="1"/>
  <c r="L87" i="1"/>
  <c r="C128" i="3" l="1"/>
  <c r="B128" i="3"/>
  <c r="M88" i="1"/>
  <c r="O88" i="1" s="1"/>
  <c r="M91" i="1"/>
  <c r="O91" i="1" s="1"/>
  <c r="O85" i="1"/>
  <c r="M87" i="1"/>
  <c r="L89" i="1"/>
  <c r="C129" i="3" l="1"/>
  <c r="B129" i="3"/>
  <c r="B94" i="1"/>
  <c r="M89" i="1"/>
  <c r="O87" i="1"/>
  <c r="O89" i="1" s="1"/>
  <c r="C130" i="3" l="1"/>
  <c r="B130" i="3"/>
  <c r="B97" i="1"/>
  <c r="C94" i="1" s="1"/>
  <c r="B96" i="1"/>
  <c r="B100" i="1"/>
  <c r="C131" i="3" l="1"/>
  <c r="B131" i="3"/>
  <c r="C97" i="1"/>
  <c r="D94" i="1" s="1"/>
  <c r="C96" i="1"/>
  <c r="C100" i="1"/>
  <c r="B98" i="1"/>
  <c r="C132" i="3" l="1"/>
  <c r="C98" i="1"/>
  <c r="B132" i="3"/>
  <c r="D97" i="1"/>
  <c r="E94" i="1" s="1"/>
  <c r="D100" i="1"/>
  <c r="D96" i="1"/>
  <c r="C133" i="3" l="1"/>
  <c r="B133" i="3"/>
  <c r="E97" i="1"/>
  <c r="F94" i="1" s="1"/>
  <c r="E100" i="1"/>
  <c r="E96" i="1"/>
  <c r="D98" i="1"/>
  <c r="C134" i="3" l="1"/>
  <c r="B134" i="3"/>
  <c r="F96" i="1"/>
  <c r="F97" i="1"/>
  <c r="F100" i="1"/>
  <c r="E98" i="1"/>
  <c r="C135" i="3" l="1"/>
  <c r="B135" i="3"/>
  <c r="F98" i="1"/>
  <c r="G94" i="1"/>
  <c r="C136" i="3" l="1"/>
  <c r="B136" i="3"/>
  <c r="G97" i="1"/>
  <c r="H94" i="1" s="1"/>
  <c r="G100" i="1"/>
  <c r="G96" i="1"/>
  <c r="C137" i="3" l="1"/>
  <c r="B137" i="3"/>
  <c r="H96" i="1"/>
  <c r="H97" i="1"/>
  <c r="I94" i="1" s="1"/>
  <c r="H100" i="1"/>
  <c r="G98" i="1"/>
  <c r="C138" i="3" l="1"/>
  <c r="B138" i="3"/>
  <c r="H98" i="1"/>
  <c r="I100" i="1"/>
  <c r="I96" i="1"/>
  <c r="I97" i="1"/>
  <c r="J94" i="1" s="1"/>
  <c r="C139" i="3" l="1"/>
  <c r="B139" i="3"/>
  <c r="J100" i="1"/>
  <c r="J96" i="1"/>
  <c r="J97" i="1"/>
  <c r="K94" i="1" s="1"/>
  <c r="I98" i="1"/>
  <c r="C140" i="3" l="1"/>
  <c r="B140" i="3"/>
  <c r="K97" i="1"/>
  <c r="L94" i="1" s="1"/>
  <c r="K100" i="1"/>
  <c r="K96" i="1"/>
  <c r="J98" i="1"/>
  <c r="C141" i="3" l="1"/>
  <c r="B141" i="3"/>
  <c r="L97" i="1"/>
  <c r="M94" i="1" s="1"/>
  <c r="L96" i="1"/>
  <c r="L100" i="1"/>
  <c r="K98" i="1"/>
  <c r="C142" i="3" l="1"/>
  <c r="B142" i="3"/>
  <c r="L98" i="1"/>
  <c r="M97" i="1"/>
  <c r="O97" i="1" s="1"/>
  <c r="M96" i="1"/>
  <c r="O94" i="1"/>
  <c r="D10" i="2" s="1"/>
  <c r="M100" i="1"/>
  <c r="O100" i="1" s="1"/>
  <c r="C143" i="3" l="1"/>
  <c r="B103" i="1"/>
  <c r="B109" i="1" s="1"/>
  <c r="B143" i="3"/>
  <c r="M98" i="1"/>
  <c r="O96" i="1"/>
  <c r="O98" i="1" s="1"/>
  <c r="C144" i="3" l="1"/>
  <c r="B106" i="1"/>
  <c r="C103" i="1" s="1"/>
  <c r="C105" i="1" s="1"/>
  <c r="B105" i="1"/>
  <c r="B144" i="3"/>
  <c r="C145" i="3" l="1"/>
  <c r="C106" i="1"/>
  <c r="D103" i="1" s="1"/>
  <c r="D105" i="1" s="1"/>
  <c r="C109" i="1"/>
  <c r="B107" i="1"/>
  <c r="B145" i="3"/>
  <c r="C146" i="3" l="1"/>
  <c r="D109" i="1"/>
  <c r="D106" i="1"/>
  <c r="E103" i="1" s="1"/>
  <c r="E109" i="1" s="1"/>
  <c r="C107" i="1"/>
  <c r="B146" i="3"/>
  <c r="C147" i="3" l="1"/>
  <c r="E105" i="1"/>
  <c r="D107" i="1"/>
  <c r="E106" i="1"/>
  <c r="F103" i="1" s="1"/>
  <c r="F106" i="1" s="1"/>
  <c r="G103" i="1" s="1"/>
  <c r="B147" i="3"/>
  <c r="C148" i="3" l="1"/>
  <c r="F109" i="1"/>
  <c r="F105" i="1"/>
  <c r="F107" i="1" s="1"/>
  <c r="E107" i="1"/>
  <c r="B148" i="3"/>
  <c r="G109" i="1"/>
  <c r="G105" i="1"/>
  <c r="G106" i="1"/>
  <c r="H103" i="1" s="1"/>
  <c r="C149" i="3" l="1"/>
  <c r="B149" i="3"/>
  <c r="G107" i="1"/>
  <c r="H109" i="1"/>
  <c r="H105" i="1"/>
  <c r="H106" i="1"/>
  <c r="I103" i="1" s="1"/>
  <c r="C150" i="3" l="1"/>
  <c r="B150" i="3"/>
  <c r="I109" i="1"/>
  <c r="I105" i="1"/>
  <c r="I106" i="1"/>
  <c r="J103" i="1" s="1"/>
  <c r="H107" i="1"/>
  <c r="C151" i="3" l="1"/>
  <c r="B151" i="3"/>
  <c r="I107" i="1"/>
  <c r="J105" i="1"/>
  <c r="J106" i="1"/>
  <c r="K103" i="1" s="1"/>
  <c r="J109" i="1"/>
  <c r="C152" i="3" l="1"/>
  <c r="B152" i="3"/>
  <c r="K109" i="1"/>
  <c r="K105" i="1"/>
  <c r="K106" i="1"/>
  <c r="L103" i="1" s="1"/>
  <c r="J107" i="1"/>
  <c r="C153" i="3" l="1"/>
  <c r="B153" i="3"/>
  <c r="L109" i="1"/>
  <c r="L105" i="1"/>
  <c r="L106" i="1"/>
  <c r="M103" i="1" s="1"/>
  <c r="K107" i="1"/>
  <c r="C154" i="3" l="1"/>
  <c r="B154" i="3"/>
  <c r="M106" i="1"/>
  <c r="O106" i="1" s="1"/>
  <c r="M109" i="1"/>
  <c r="O109" i="1" s="1"/>
  <c r="M105" i="1"/>
  <c r="O103" i="1"/>
  <c r="L107" i="1"/>
  <c r="C155" i="3" l="1"/>
  <c r="B155" i="3"/>
  <c r="B112" i="1"/>
  <c r="B114" i="1" s="1"/>
  <c r="M107" i="1"/>
  <c r="O105" i="1"/>
  <c r="O107" i="1" s="1"/>
  <c r="C156" i="3" l="1"/>
  <c r="B156" i="3"/>
  <c r="B115" i="1"/>
  <c r="B116" i="1" s="1"/>
  <c r="B118" i="1"/>
  <c r="C157" i="3" l="1"/>
  <c r="B157" i="3"/>
  <c r="C112" i="1"/>
  <c r="C114" i="1" s="1"/>
  <c r="C158" i="3" l="1"/>
  <c r="B158" i="3"/>
  <c r="C118" i="1"/>
  <c r="C115" i="1"/>
  <c r="D112" i="1" s="1"/>
  <c r="D118" i="1" s="1"/>
  <c r="C159" i="3" l="1"/>
  <c r="C116" i="1"/>
  <c r="B159" i="3"/>
  <c r="D115" i="1"/>
  <c r="E112" i="1" s="1"/>
  <c r="E115" i="1" s="1"/>
  <c r="F112" i="1" s="1"/>
  <c r="F115" i="1" s="1"/>
  <c r="D114" i="1"/>
  <c r="C160" i="3" l="1"/>
  <c r="E118" i="1"/>
  <c r="D116" i="1"/>
  <c r="B160" i="3"/>
  <c r="E114" i="1"/>
  <c r="E116" i="1" s="1"/>
  <c r="F118" i="1"/>
  <c r="F114" i="1"/>
  <c r="F116" i="1" s="1"/>
  <c r="G112" i="1"/>
  <c r="C161" i="3" l="1"/>
  <c r="B161" i="3"/>
  <c r="G115" i="1"/>
  <c r="H112" i="1" s="1"/>
  <c r="G114" i="1"/>
  <c r="G118" i="1"/>
  <c r="C162" i="3" l="1"/>
  <c r="B162" i="3"/>
  <c r="H118" i="1"/>
  <c r="H115" i="1"/>
  <c r="I112" i="1" s="1"/>
  <c r="H114" i="1"/>
  <c r="G116" i="1"/>
  <c r="C163" i="3" l="1"/>
  <c r="B163" i="3"/>
  <c r="I114" i="1"/>
  <c r="I115" i="1"/>
  <c r="J112" i="1" s="1"/>
  <c r="I118" i="1"/>
  <c r="H116" i="1"/>
  <c r="C164" i="3" l="1"/>
  <c r="B164" i="3"/>
  <c r="J114" i="1"/>
  <c r="J118" i="1"/>
  <c r="J115" i="1"/>
  <c r="K112" i="1" s="1"/>
  <c r="I116" i="1"/>
  <c r="C165" i="3" l="1"/>
  <c r="B165" i="3"/>
  <c r="J116" i="1"/>
  <c r="K118" i="1"/>
  <c r="K114" i="1"/>
  <c r="K115" i="1"/>
  <c r="L112" i="1" s="1"/>
  <c r="C166" i="3" l="1"/>
  <c r="B166" i="3"/>
  <c r="L115" i="1"/>
  <c r="M112" i="1" s="1"/>
  <c r="L118" i="1"/>
  <c r="L114" i="1"/>
  <c r="K116" i="1"/>
  <c r="C167" i="3" l="1"/>
  <c r="B167" i="3"/>
  <c r="L116" i="1"/>
  <c r="O92" i="3"/>
  <c r="P92" i="3"/>
  <c r="M115" i="1"/>
  <c r="O115" i="1" s="1"/>
  <c r="M118" i="1"/>
  <c r="O118" i="1" s="1"/>
  <c r="O112" i="1"/>
  <c r="M114" i="1"/>
  <c r="C168" i="3" l="1"/>
  <c r="B168" i="3"/>
  <c r="O93" i="3"/>
  <c r="P93" i="3"/>
  <c r="B121" i="1"/>
  <c r="B123" i="1" s="1"/>
  <c r="M116" i="1"/>
  <c r="O114" i="1"/>
  <c r="O116" i="1" s="1"/>
  <c r="C169" i="3" l="1"/>
  <c r="B169" i="3"/>
  <c r="B124" i="1"/>
  <c r="C121" i="1" s="1"/>
  <c r="C124" i="1" s="1"/>
  <c r="D121" i="1" s="1"/>
  <c r="B127" i="1"/>
  <c r="C170" i="3" l="1"/>
  <c r="B125" i="1"/>
  <c r="B170" i="3"/>
  <c r="C127" i="1"/>
  <c r="C123" i="1"/>
  <c r="C125" i="1" s="1"/>
  <c r="D123" i="1"/>
  <c r="D127" i="1"/>
  <c r="D124" i="1"/>
  <c r="C171" i="3" l="1"/>
  <c r="B171" i="3"/>
  <c r="P94" i="3"/>
  <c r="O94" i="3"/>
  <c r="D125" i="1"/>
  <c r="E121" i="1"/>
  <c r="C172" i="3" l="1"/>
  <c r="B172" i="3"/>
  <c r="P95" i="3"/>
  <c r="O95" i="3"/>
  <c r="E127" i="1"/>
  <c r="E124" i="1"/>
  <c r="F121" i="1" s="1"/>
  <c r="E123" i="1"/>
  <c r="C173" i="3" l="1"/>
  <c r="B173" i="3"/>
  <c r="O96" i="3"/>
  <c r="P96" i="3"/>
  <c r="E125" i="1"/>
  <c r="F124" i="1"/>
  <c r="G121" i="1" s="1"/>
  <c r="F127" i="1"/>
  <c r="F123" i="1"/>
  <c r="C174" i="3" l="1"/>
  <c r="B174" i="3"/>
  <c r="P97" i="3"/>
  <c r="O97" i="3"/>
  <c r="G127" i="1"/>
  <c r="G124" i="1"/>
  <c r="H121" i="1" s="1"/>
  <c r="G123" i="1"/>
  <c r="F125" i="1"/>
  <c r="C175" i="3" l="1"/>
  <c r="B175" i="3"/>
  <c r="P98" i="3"/>
  <c r="O98" i="3"/>
  <c r="H124" i="1"/>
  <c r="I121" i="1" s="1"/>
  <c r="H123" i="1"/>
  <c r="H127" i="1"/>
  <c r="G125" i="1"/>
  <c r="C176" i="3" l="1"/>
  <c r="B176" i="3"/>
  <c r="P99" i="3"/>
  <c r="O99" i="3"/>
  <c r="I127" i="1"/>
  <c r="I123" i="1"/>
  <c r="I124" i="1"/>
  <c r="J121" i="1" s="1"/>
  <c r="H125" i="1"/>
  <c r="C177" i="3" l="1"/>
  <c r="B177" i="3"/>
  <c r="O100" i="3"/>
  <c r="P100" i="3"/>
  <c r="J124" i="1"/>
  <c r="K121" i="1" s="1"/>
  <c r="J127" i="1"/>
  <c r="J123" i="1"/>
  <c r="I125" i="1"/>
  <c r="C178" i="3" l="1"/>
  <c r="B178" i="3"/>
  <c r="O101" i="3"/>
  <c r="P101" i="3"/>
  <c r="J125" i="1"/>
  <c r="K127" i="1"/>
  <c r="K124" i="1"/>
  <c r="L121" i="1" s="1"/>
  <c r="K123" i="1"/>
  <c r="C179" i="3" l="1"/>
  <c r="B179" i="3"/>
  <c r="P102" i="3"/>
  <c r="O102" i="3"/>
  <c r="L124" i="1"/>
  <c r="M121" i="1" s="1"/>
  <c r="L127" i="1"/>
  <c r="L123" i="1"/>
  <c r="K125" i="1"/>
  <c r="C180" i="3" l="1"/>
  <c r="B180" i="3"/>
  <c r="P103" i="3"/>
  <c r="O103" i="3"/>
  <c r="L125" i="1"/>
  <c r="M124" i="1"/>
  <c r="O124" i="1" s="1"/>
  <c r="O121" i="1"/>
  <c r="M127" i="1"/>
  <c r="O127" i="1" s="1"/>
  <c r="M123" i="1"/>
  <c r="C181" i="3" l="1"/>
  <c r="B181" i="3"/>
  <c r="O104" i="3"/>
  <c r="P104" i="3"/>
  <c r="B130" i="1"/>
  <c r="M125" i="1"/>
  <c r="O123" i="1"/>
  <c r="O125" i="1" s="1"/>
  <c r="C182" i="3" l="1"/>
  <c r="B182" i="3"/>
  <c r="O105" i="3"/>
  <c r="P105" i="3"/>
  <c r="B136" i="1"/>
  <c r="B132" i="1"/>
  <c r="B133" i="1"/>
  <c r="C130" i="1" s="1"/>
  <c r="C183" i="3" l="1"/>
  <c r="B183" i="3"/>
  <c r="P106" i="3"/>
  <c r="O106" i="3"/>
  <c r="B134" i="1"/>
  <c r="C136" i="1"/>
  <c r="C132" i="1"/>
  <c r="C133" i="1"/>
  <c r="C184" i="3" l="1"/>
  <c r="B184" i="3"/>
  <c r="P107" i="3"/>
  <c r="O107" i="3"/>
  <c r="D130" i="1"/>
  <c r="C134" i="1"/>
  <c r="C185" i="3" l="1"/>
  <c r="B185" i="3"/>
  <c r="O108" i="3"/>
  <c r="P108" i="3"/>
  <c r="D136" i="1"/>
  <c r="D132" i="1"/>
  <c r="D133" i="1"/>
  <c r="E130" i="1" s="1"/>
  <c r="C186" i="3" l="1"/>
  <c r="B186" i="3"/>
  <c r="O109" i="3"/>
  <c r="P109" i="3"/>
  <c r="E132" i="1"/>
  <c r="E136" i="1"/>
  <c r="E133" i="1"/>
  <c r="F130" i="1" s="1"/>
  <c r="D134" i="1"/>
  <c r="C187" i="3" l="1"/>
  <c r="B187" i="3"/>
  <c r="P110" i="3"/>
  <c r="O110" i="3"/>
  <c r="F132" i="1"/>
  <c r="F133" i="1"/>
  <c r="G130" i="1" s="1"/>
  <c r="F136" i="1"/>
  <c r="E134" i="1"/>
  <c r="C188" i="3" l="1"/>
  <c r="B188" i="3"/>
  <c r="P111" i="3"/>
  <c r="O111" i="3"/>
  <c r="G133" i="1"/>
  <c r="H130" i="1" s="1"/>
  <c r="G132" i="1"/>
  <c r="G136" i="1"/>
  <c r="F134" i="1"/>
  <c r="C189" i="3" l="1"/>
  <c r="B189" i="3"/>
  <c r="O112" i="3"/>
  <c r="P112" i="3"/>
  <c r="G134" i="1"/>
  <c r="H133" i="1"/>
  <c r="I130" i="1" s="1"/>
  <c r="H136" i="1"/>
  <c r="H132" i="1"/>
  <c r="C190" i="3" l="1"/>
  <c r="B190" i="3"/>
  <c r="P113" i="3"/>
  <c r="O113" i="3"/>
  <c r="I136" i="1"/>
  <c r="I132" i="1"/>
  <c r="I133" i="1"/>
  <c r="J130" i="1" s="1"/>
  <c r="H134" i="1"/>
  <c r="C191" i="3" l="1"/>
  <c r="B191" i="3"/>
  <c r="P114" i="3"/>
  <c r="O114" i="3"/>
  <c r="J132" i="1"/>
  <c r="J136" i="1"/>
  <c r="J133" i="1"/>
  <c r="K130" i="1" s="1"/>
  <c r="I134" i="1"/>
  <c r="C192" i="3" l="1"/>
  <c r="B192" i="3"/>
  <c r="P115" i="3"/>
  <c r="O115" i="3"/>
  <c r="J134" i="1"/>
  <c r="K133" i="1"/>
  <c r="L130" i="1" s="1"/>
  <c r="K136" i="1"/>
  <c r="K132" i="1"/>
  <c r="C193" i="3" l="1"/>
  <c r="B193" i="3"/>
  <c r="O116" i="3"/>
  <c r="P116" i="3"/>
  <c r="L133" i="1"/>
  <c r="M130" i="1" s="1"/>
  <c r="L132" i="1"/>
  <c r="L136" i="1"/>
  <c r="K134" i="1"/>
  <c r="C194" i="3" l="1"/>
  <c r="B194" i="3"/>
  <c r="O117" i="3"/>
  <c r="P117" i="3"/>
  <c r="L134" i="1"/>
  <c r="O130" i="1"/>
  <c r="M132" i="1"/>
  <c r="M136" i="1"/>
  <c r="O136" i="1" s="1"/>
  <c r="M133" i="1"/>
  <c r="O133" i="1" s="1"/>
  <c r="C195" i="3" l="1"/>
  <c r="B195" i="3"/>
  <c r="P118" i="3"/>
  <c r="O118" i="3"/>
  <c r="B139" i="1"/>
  <c r="B142" i="1" s="1"/>
  <c r="C139" i="1" s="1"/>
  <c r="M134" i="1"/>
  <c r="O132" i="1"/>
  <c r="O134" i="1" s="1"/>
  <c r="C196" i="3" l="1"/>
  <c r="B196" i="3"/>
  <c r="P119" i="3"/>
  <c r="O119" i="3"/>
  <c r="B145" i="1"/>
  <c r="B141" i="1"/>
  <c r="B143" i="1" s="1"/>
  <c r="C145" i="1"/>
  <c r="C141" i="1"/>
  <c r="C142" i="1"/>
  <c r="D139" i="1" s="1"/>
  <c r="C197" i="3" l="1"/>
  <c r="B197" i="3"/>
  <c r="P120" i="3"/>
  <c r="O120" i="3"/>
  <c r="C143" i="1"/>
  <c r="D142" i="1"/>
  <c r="D141" i="1"/>
  <c r="D145" i="1"/>
  <c r="C198" i="3" l="1"/>
  <c r="B198" i="3"/>
  <c r="P121" i="3"/>
  <c r="O121" i="3"/>
  <c r="D143" i="1"/>
  <c r="E139" i="1"/>
  <c r="C199" i="3" l="1"/>
  <c r="B199" i="3"/>
  <c r="P122" i="3"/>
  <c r="O122" i="3"/>
  <c r="E145" i="1"/>
  <c r="E141" i="1"/>
  <c r="E142" i="1"/>
  <c r="F139" i="1" s="1"/>
  <c r="C200" i="3" l="1"/>
  <c r="B200" i="3"/>
  <c r="P123" i="3"/>
  <c r="O123" i="3"/>
  <c r="E143" i="1"/>
  <c r="F141" i="1"/>
  <c r="F145" i="1"/>
  <c r="F142" i="1"/>
  <c r="G139" i="1" s="1"/>
  <c r="C201" i="3" l="1"/>
  <c r="B201" i="3"/>
  <c r="P124" i="3"/>
  <c r="O124" i="3"/>
  <c r="F143" i="1"/>
  <c r="G142" i="1"/>
  <c r="H139" i="1" s="1"/>
  <c r="G141" i="1"/>
  <c r="G145" i="1"/>
  <c r="C202" i="3" l="1"/>
  <c r="B202" i="3"/>
  <c r="G143" i="1"/>
  <c r="P125" i="3"/>
  <c r="O125" i="3"/>
  <c r="H142" i="1"/>
  <c r="I139" i="1" s="1"/>
  <c r="H141" i="1"/>
  <c r="H145" i="1"/>
  <c r="C203" i="3" l="1"/>
  <c r="B203" i="3"/>
  <c r="P126" i="3"/>
  <c r="O126" i="3"/>
  <c r="H143" i="1"/>
  <c r="I145" i="1"/>
  <c r="I142" i="1"/>
  <c r="J139" i="1" s="1"/>
  <c r="I141" i="1"/>
  <c r="C204" i="3" l="1"/>
  <c r="B204" i="3"/>
  <c r="P127" i="3"/>
  <c r="O127" i="3"/>
  <c r="I143" i="1"/>
  <c r="J142" i="1"/>
  <c r="K139" i="1" s="1"/>
  <c r="J141" i="1"/>
  <c r="J145" i="1"/>
  <c r="C205" i="3" l="1"/>
  <c r="B205" i="3"/>
  <c r="P128" i="3"/>
  <c r="O128" i="3"/>
  <c r="J143" i="1"/>
  <c r="K142" i="1"/>
  <c r="L139" i="1" s="1"/>
  <c r="K141" i="1"/>
  <c r="K145" i="1"/>
  <c r="C206" i="3" l="1"/>
  <c r="B206" i="3"/>
  <c r="K143" i="1"/>
  <c r="P129" i="3"/>
  <c r="O129" i="3"/>
  <c r="L142" i="1"/>
  <c r="M139" i="1" s="1"/>
  <c r="L145" i="1"/>
  <c r="L141" i="1"/>
  <c r="C207" i="3" l="1"/>
  <c r="B207" i="3"/>
  <c r="L143" i="1"/>
  <c r="P130" i="3"/>
  <c r="O130" i="3"/>
  <c r="M141" i="1"/>
  <c r="O139" i="1"/>
  <c r="M145" i="1"/>
  <c r="O145" i="1" s="1"/>
  <c r="M142" i="1"/>
  <c r="O142" i="1" s="1"/>
  <c r="C208" i="3" l="1"/>
  <c r="B208" i="3"/>
  <c r="P131" i="3"/>
  <c r="O131" i="3"/>
  <c r="M143" i="1"/>
  <c r="O141" i="1"/>
  <c r="O143" i="1" s="1"/>
  <c r="B148" i="1"/>
  <c r="C209" i="3" l="1"/>
  <c r="B209" i="3"/>
  <c r="P132" i="3"/>
  <c r="O132" i="3"/>
  <c r="B154" i="1"/>
  <c r="B150" i="1"/>
  <c r="B151" i="1"/>
  <c r="C210" i="3" l="1"/>
  <c r="B210" i="3"/>
  <c r="P133" i="3"/>
  <c r="O133" i="3"/>
  <c r="B152" i="1"/>
  <c r="C148" i="1"/>
  <c r="C211" i="3" l="1"/>
  <c r="B211" i="3"/>
  <c r="P134" i="3"/>
  <c r="O134" i="3"/>
  <c r="C151" i="1"/>
  <c r="C150" i="1"/>
  <c r="C154" i="1"/>
  <c r="C212" i="3" l="1"/>
  <c r="B212" i="3"/>
  <c r="P135" i="3"/>
  <c r="O135" i="3"/>
  <c r="C152" i="1"/>
  <c r="D148" i="1"/>
  <c r="C213" i="3" l="1"/>
  <c r="B213" i="3"/>
  <c r="P136" i="3"/>
  <c r="O136" i="3"/>
  <c r="D151" i="1"/>
  <c r="D150" i="1"/>
  <c r="D154" i="1"/>
  <c r="C214" i="3" l="1"/>
  <c r="B214" i="3"/>
  <c r="P137" i="3"/>
  <c r="O137" i="3"/>
  <c r="D152" i="1"/>
  <c r="E148" i="1"/>
  <c r="C215" i="3" l="1"/>
  <c r="B215" i="3"/>
  <c r="P138" i="3"/>
  <c r="O138" i="3"/>
  <c r="E154" i="1"/>
  <c r="E150" i="1"/>
  <c r="E151" i="1"/>
  <c r="F148" i="1" s="1"/>
  <c r="C216" i="3" l="1"/>
  <c r="B216" i="3"/>
  <c r="P139" i="3"/>
  <c r="O139" i="3"/>
  <c r="E152" i="1"/>
  <c r="F151" i="1"/>
  <c r="G148" i="1" s="1"/>
  <c r="F154" i="1"/>
  <c r="F150" i="1"/>
  <c r="C217" i="3" l="1"/>
  <c r="B217" i="3"/>
  <c r="P140" i="3"/>
  <c r="O140" i="3"/>
  <c r="F152" i="1"/>
  <c r="G151" i="1"/>
  <c r="H148" i="1" s="1"/>
  <c r="G150" i="1"/>
  <c r="G154" i="1"/>
  <c r="C218" i="3" l="1"/>
  <c r="B218" i="3"/>
  <c r="O141" i="3"/>
  <c r="P141" i="3"/>
  <c r="H151" i="1"/>
  <c r="I148" i="1" s="1"/>
  <c r="H150" i="1"/>
  <c r="H154" i="1"/>
  <c r="G152" i="1"/>
  <c r="C219" i="3" l="1"/>
  <c r="H152" i="1"/>
  <c r="B219" i="3"/>
  <c r="P142" i="3"/>
  <c r="O142" i="3"/>
  <c r="I150" i="1"/>
  <c r="I151" i="1"/>
  <c r="J148" i="1" s="1"/>
  <c r="I154" i="1"/>
  <c r="C220" i="3" l="1"/>
  <c r="B220" i="3"/>
  <c r="P143" i="3"/>
  <c r="O143" i="3"/>
  <c r="J150" i="1"/>
  <c r="J154" i="1"/>
  <c r="J151" i="1"/>
  <c r="K148" i="1" s="1"/>
  <c r="I152" i="1"/>
  <c r="C221" i="3" l="1"/>
  <c r="B221" i="3"/>
  <c r="P144" i="3"/>
  <c r="O144" i="3"/>
  <c r="J152" i="1"/>
  <c r="K150" i="1"/>
  <c r="K151" i="1"/>
  <c r="L148" i="1" s="1"/>
  <c r="K154" i="1"/>
  <c r="C222" i="3" l="1"/>
  <c r="B222" i="3"/>
  <c r="P145" i="3"/>
  <c r="O145" i="3"/>
  <c r="L150" i="1"/>
  <c r="L154" i="1"/>
  <c r="L151" i="1"/>
  <c r="M148" i="1" s="1"/>
  <c r="K152" i="1"/>
  <c r="C223" i="3" l="1"/>
  <c r="B223" i="3"/>
  <c r="P146" i="3"/>
  <c r="O146" i="3"/>
  <c r="L152" i="1"/>
  <c r="M150" i="1"/>
  <c r="O148" i="1"/>
  <c r="M154" i="1"/>
  <c r="O154" i="1" s="1"/>
  <c r="M151" i="1"/>
  <c r="O151" i="1" s="1"/>
  <c r="C224" i="3" l="1"/>
  <c r="B224" i="3"/>
  <c r="P147" i="3"/>
  <c r="O147" i="3"/>
  <c r="B157" i="1"/>
  <c r="M152" i="1"/>
  <c r="O150" i="1"/>
  <c r="O152" i="1" s="1"/>
  <c r="C225" i="3" l="1"/>
  <c r="B225" i="3"/>
  <c r="P148" i="3"/>
  <c r="O148" i="3"/>
  <c r="B163" i="1"/>
  <c r="B159" i="1"/>
  <c r="B160" i="1"/>
  <c r="C157" i="1" s="1"/>
  <c r="C226" i="3" l="1"/>
  <c r="J226" i="3"/>
  <c r="B226" i="3"/>
  <c r="O149" i="3"/>
  <c r="P149" i="3"/>
  <c r="C163" i="1"/>
  <c r="C160" i="1"/>
  <c r="D157" i="1" s="1"/>
  <c r="C159" i="1"/>
  <c r="B161" i="1"/>
  <c r="C227" i="3" l="1"/>
  <c r="J227" i="3"/>
  <c r="B227" i="3"/>
  <c r="P150" i="3"/>
  <c r="O150" i="3"/>
  <c r="D163" i="1"/>
  <c r="D159" i="1"/>
  <c r="D160" i="1"/>
  <c r="E157" i="1" s="1"/>
  <c r="C161" i="1"/>
  <c r="C228" i="3" l="1"/>
  <c r="J228" i="3"/>
  <c r="B228" i="3"/>
  <c r="P151" i="3"/>
  <c r="O151" i="3"/>
  <c r="E159" i="1"/>
  <c r="E163" i="1"/>
  <c r="E160" i="1"/>
  <c r="F157" i="1" s="1"/>
  <c r="D161" i="1"/>
  <c r="C229" i="3" l="1"/>
  <c r="J229" i="3"/>
  <c r="B229" i="3"/>
  <c r="P152" i="3"/>
  <c r="O152" i="3"/>
  <c r="E161" i="1"/>
  <c r="F159" i="1"/>
  <c r="F160" i="1"/>
  <c r="G157" i="1" s="1"/>
  <c r="F163" i="1"/>
  <c r="C230" i="3" l="1"/>
  <c r="J230" i="3"/>
  <c r="B230" i="3"/>
  <c r="P153" i="3"/>
  <c r="O153" i="3"/>
  <c r="G160" i="1"/>
  <c r="H157" i="1" s="1"/>
  <c r="G159" i="1"/>
  <c r="G163" i="1"/>
  <c r="F161" i="1"/>
  <c r="C231" i="3" l="1"/>
  <c r="J231" i="3"/>
  <c r="B231" i="3"/>
  <c r="P154" i="3"/>
  <c r="O154" i="3"/>
  <c r="G161" i="1"/>
  <c r="H163" i="1"/>
  <c r="H160" i="1"/>
  <c r="I157" i="1" s="1"/>
  <c r="H159" i="1"/>
  <c r="C232" i="3" l="1"/>
  <c r="J232" i="3"/>
  <c r="B232" i="3"/>
  <c r="P155" i="3"/>
  <c r="O155" i="3"/>
  <c r="H161" i="1"/>
  <c r="I159" i="1"/>
  <c r="I160" i="1"/>
  <c r="J157" i="1" s="1"/>
  <c r="I163" i="1"/>
  <c r="C233" i="3" l="1"/>
  <c r="J233" i="3"/>
  <c r="B233" i="3"/>
  <c r="P156" i="3"/>
  <c r="O156" i="3"/>
  <c r="J163" i="1"/>
  <c r="J160" i="1"/>
  <c r="K157" i="1" s="1"/>
  <c r="J159" i="1"/>
  <c r="I161" i="1"/>
  <c r="C234" i="3" l="1"/>
  <c r="J234" i="3"/>
  <c r="B234" i="3"/>
  <c r="K160" i="1"/>
  <c r="L157" i="1" s="1"/>
  <c r="K159" i="1"/>
  <c r="K163" i="1"/>
  <c r="J161" i="1"/>
  <c r="C235" i="3" l="1"/>
  <c r="J235" i="3"/>
  <c r="B235" i="3"/>
  <c r="P157" i="3"/>
  <c r="O157" i="3"/>
  <c r="K161" i="1"/>
  <c r="L163" i="1"/>
  <c r="L159" i="1"/>
  <c r="L160" i="1"/>
  <c r="M157" i="1" s="1"/>
  <c r="C236" i="3" l="1"/>
  <c r="J236" i="3"/>
  <c r="B236" i="3"/>
  <c r="P158" i="3"/>
  <c r="O158" i="3"/>
  <c r="L161" i="1"/>
  <c r="O157" i="1"/>
  <c r="M163" i="1"/>
  <c r="O163" i="1" s="1"/>
  <c r="M160" i="1"/>
  <c r="O160" i="1" s="1"/>
  <c r="M159" i="1"/>
  <c r="C237" i="3" l="1"/>
  <c r="J237" i="3"/>
  <c r="B237" i="3"/>
  <c r="P159" i="3"/>
  <c r="O159" i="3"/>
  <c r="B166" i="1"/>
  <c r="M161" i="1"/>
  <c r="O159" i="1"/>
  <c r="O161" i="1" s="1"/>
  <c r="C238" i="3" l="1"/>
  <c r="J238" i="3"/>
  <c r="B238" i="3"/>
  <c r="P160" i="3"/>
  <c r="O160" i="3"/>
  <c r="B172" i="1"/>
  <c r="B169" i="1"/>
  <c r="B168" i="1"/>
  <c r="C239" i="3" l="1"/>
  <c r="J239" i="3"/>
  <c r="B239" i="3"/>
  <c r="P161" i="3"/>
  <c r="O161" i="3"/>
  <c r="C166" i="1"/>
  <c r="B170" i="1"/>
  <c r="C240" i="3" l="1"/>
  <c r="J240" i="3"/>
  <c r="B240" i="3"/>
  <c r="P162" i="3"/>
  <c r="O162" i="3"/>
  <c r="C172" i="1"/>
  <c r="C168" i="1"/>
  <c r="C169" i="1"/>
  <c r="D166" i="1" s="1"/>
  <c r="C241" i="3" l="1"/>
  <c r="J241" i="3"/>
  <c r="B241" i="3"/>
  <c r="P163" i="3"/>
  <c r="O163" i="3"/>
  <c r="D172" i="1"/>
  <c r="D168" i="1"/>
  <c r="D169" i="1"/>
  <c r="E166" i="1" s="1"/>
  <c r="C170" i="1"/>
  <c r="C242" i="3" l="1"/>
  <c r="J242" i="3"/>
  <c r="B242" i="3"/>
  <c r="P164" i="3"/>
  <c r="O164" i="3"/>
  <c r="D170" i="1"/>
  <c r="E168" i="1"/>
  <c r="E169" i="1"/>
  <c r="F166" i="1" s="1"/>
  <c r="E172" i="1"/>
  <c r="C243" i="3" l="1"/>
  <c r="J243" i="3"/>
  <c r="B243" i="3"/>
  <c r="P165" i="3"/>
  <c r="O165" i="3"/>
  <c r="E170" i="1"/>
  <c r="F168" i="1"/>
  <c r="F169" i="1"/>
  <c r="G166" i="1" s="1"/>
  <c r="F172" i="1"/>
  <c r="C244" i="3" l="1"/>
  <c r="J244" i="3"/>
  <c r="B244" i="3"/>
  <c r="P166" i="3"/>
  <c r="O166" i="3"/>
  <c r="F170" i="1"/>
  <c r="G172" i="1"/>
  <c r="G169" i="1"/>
  <c r="H166" i="1" s="1"/>
  <c r="G168" i="1"/>
  <c r="C245" i="3" l="1"/>
  <c r="J245" i="3"/>
  <c r="B245" i="3"/>
  <c r="P167" i="3"/>
  <c r="O167" i="3"/>
  <c r="H168" i="1"/>
  <c r="H172" i="1"/>
  <c r="H169" i="1"/>
  <c r="I166" i="1" s="1"/>
  <c r="G170" i="1"/>
  <c r="C246" i="3" l="1"/>
  <c r="J246" i="3"/>
  <c r="B246" i="3"/>
  <c r="P168" i="3"/>
  <c r="O168" i="3"/>
  <c r="I172" i="1"/>
  <c r="I169" i="1"/>
  <c r="J166" i="1" s="1"/>
  <c r="I168" i="1"/>
  <c r="H170" i="1"/>
  <c r="C247" i="3" l="1"/>
  <c r="J247" i="3"/>
  <c r="B247" i="3"/>
  <c r="O169" i="3"/>
  <c r="P169" i="3"/>
  <c r="J168" i="1"/>
  <c r="J169" i="1"/>
  <c r="K166" i="1" s="1"/>
  <c r="J172" i="1"/>
  <c r="I170" i="1"/>
  <c r="C248" i="3" l="1"/>
  <c r="J248" i="3"/>
  <c r="B248" i="3"/>
  <c r="P170" i="3"/>
  <c r="O170" i="3"/>
  <c r="J170" i="1"/>
  <c r="K172" i="1"/>
  <c r="K169" i="1"/>
  <c r="L166" i="1" s="1"/>
  <c r="K168" i="1"/>
  <c r="C249" i="3" l="1"/>
  <c r="J249" i="3"/>
  <c r="B249" i="3"/>
  <c r="P171" i="3"/>
  <c r="O171" i="3"/>
  <c r="K170" i="1"/>
  <c r="L168" i="1"/>
  <c r="L172" i="1"/>
  <c r="L169" i="1"/>
  <c r="M166" i="1" s="1"/>
  <c r="C250" i="3" l="1"/>
  <c r="G250" i="3"/>
  <c r="J250" i="3"/>
  <c r="F250" i="3"/>
  <c r="E250" i="3"/>
  <c r="B250" i="3"/>
  <c r="K250" i="3"/>
  <c r="I250" i="3"/>
  <c r="P172" i="3"/>
  <c r="O172" i="3"/>
  <c r="M168" i="1"/>
  <c r="M172" i="1"/>
  <c r="O172" i="1" s="1"/>
  <c r="O166" i="1"/>
  <c r="M169" i="1"/>
  <c r="O169" i="1" s="1"/>
  <c r="L170" i="1"/>
  <c r="C251" i="3" l="1"/>
  <c r="G251" i="3"/>
  <c r="Q250" i="3"/>
  <c r="J251" i="3"/>
  <c r="F251" i="3"/>
  <c r="K251" i="3"/>
  <c r="B251" i="3"/>
  <c r="E251" i="3"/>
  <c r="S250" i="3"/>
  <c r="U250" i="3" s="1"/>
  <c r="I251" i="3"/>
  <c r="O173" i="3"/>
  <c r="P173" i="3"/>
  <c r="B175" i="1"/>
  <c r="B181" i="1" s="1"/>
  <c r="M170" i="1"/>
  <c r="O168" i="1"/>
  <c r="O170" i="1" s="1"/>
  <c r="G252" i="3" l="1"/>
  <c r="C252" i="3"/>
  <c r="Q251" i="3"/>
  <c r="M250" i="3"/>
  <c r="L250" i="3"/>
  <c r="J252" i="3"/>
  <c r="F252" i="3"/>
  <c r="K252" i="3"/>
  <c r="E252" i="3"/>
  <c r="B252" i="3"/>
  <c r="I252" i="3"/>
  <c r="S251" i="3"/>
  <c r="U251" i="3" s="1"/>
  <c r="P174" i="3"/>
  <c r="O174" i="3"/>
  <c r="B178" i="1"/>
  <c r="C175" i="1" s="1"/>
  <c r="C181" i="1" s="1"/>
  <c r="B177" i="1"/>
  <c r="C253" i="3" l="1"/>
  <c r="G253" i="3"/>
  <c r="Q252" i="3"/>
  <c r="M251" i="3"/>
  <c r="L251" i="3"/>
  <c r="J253" i="3"/>
  <c r="C178" i="1"/>
  <c r="D175" i="1" s="1"/>
  <c r="D181" i="1" s="1"/>
  <c r="S252" i="3"/>
  <c r="U252" i="3" s="1"/>
  <c r="E253" i="3"/>
  <c r="K253" i="3"/>
  <c r="F253" i="3"/>
  <c r="B253" i="3"/>
  <c r="I253" i="3"/>
  <c r="B179" i="1"/>
  <c r="C177" i="1"/>
  <c r="P175" i="3"/>
  <c r="O175" i="3"/>
  <c r="C254" i="3" l="1"/>
  <c r="G254" i="3"/>
  <c r="Q253" i="3"/>
  <c r="M252" i="3"/>
  <c r="L252" i="3"/>
  <c r="J254" i="3"/>
  <c r="C179" i="1"/>
  <c r="D177" i="1"/>
  <c r="D178" i="1"/>
  <c r="E175" i="1" s="1"/>
  <c r="F254" i="3"/>
  <c r="E254" i="3"/>
  <c r="B254" i="3"/>
  <c r="I254" i="3"/>
  <c r="S253" i="3"/>
  <c r="U253" i="3" s="1"/>
  <c r="K254" i="3"/>
  <c r="P176" i="3"/>
  <c r="O176" i="3"/>
  <c r="C255" i="3" l="1"/>
  <c r="G255" i="3"/>
  <c r="Q254" i="3"/>
  <c r="M253" i="3"/>
  <c r="L253" i="3"/>
  <c r="J255" i="3"/>
  <c r="D179" i="1"/>
  <c r="F255" i="3"/>
  <c r="K255" i="3"/>
  <c r="B255" i="3"/>
  <c r="E255" i="3"/>
  <c r="S254" i="3"/>
  <c r="U254" i="3" s="1"/>
  <c r="I255" i="3"/>
  <c r="P177" i="3"/>
  <c r="O177" i="3"/>
  <c r="E181" i="1"/>
  <c r="E177" i="1"/>
  <c r="E178" i="1"/>
  <c r="F175" i="1" s="1"/>
  <c r="G256" i="3" l="1"/>
  <c r="C256" i="3"/>
  <c r="Q255" i="3"/>
  <c r="M254" i="3"/>
  <c r="L254" i="3"/>
  <c r="J256" i="3"/>
  <c r="K256" i="3"/>
  <c r="I256" i="3"/>
  <c r="E256" i="3"/>
  <c r="B256" i="3"/>
  <c r="S255" i="3"/>
  <c r="U255" i="3" s="1"/>
  <c r="F256" i="3"/>
  <c r="P178" i="3"/>
  <c r="O178" i="3"/>
  <c r="E179" i="1"/>
  <c r="F177" i="1"/>
  <c r="F181" i="1"/>
  <c r="F178" i="1"/>
  <c r="G175" i="1" s="1"/>
  <c r="C257" i="3" l="1"/>
  <c r="G257" i="3"/>
  <c r="Q256" i="3"/>
  <c r="M255" i="3"/>
  <c r="L255" i="3"/>
  <c r="J257" i="3"/>
  <c r="E257" i="3"/>
  <c r="B257" i="3"/>
  <c r="F257" i="3"/>
  <c r="S256" i="3"/>
  <c r="U256" i="3" s="1"/>
  <c r="I257" i="3"/>
  <c r="K257" i="3"/>
  <c r="P179" i="3"/>
  <c r="O179" i="3"/>
  <c r="F179" i="1"/>
  <c r="G177" i="1"/>
  <c r="G178" i="1"/>
  <c r="H175" i="1" s="1"/>
  <c r="G181" i="1"/>
  <c r="C258" i="3" l="1"/>
  <c r="G258" i="3"/>
  <c r="Q257" i="3"/>
  <c r="M256" i="3"/>
  <c r="L256" i="3"/>
  <c r="J258" i="3"/>
  <c r="F258" i="3"/>
  <c r="K258" i="3"/>
  <c r="E258" i="3"/>
  <c r="B258" i="3"/>
  <c r="S257" i="3"/>
  <c r="U257" i="3" s="1"/>
  <c r="I258" i="3"/>
  <c r="P180" i="3"/>
  <c r="O180" i="3"/>
  <c r="G179" i="1"/>
  <c r="H181" i="1"/>
  <c r="H178" i="1"/>
  <c r="I175" i="1" s="1"/>
  <c r="H177" i="1"/>
  <c r="C259" i="3" l="1"/>
  <c r="G259" i="3"/>
  <c r="Q258" i="3"/>
  <c r="M257" i="3"/>
  <c r="L257" i="3"/>
  <c r="J259" i="3"/>
  <c r="I259" i="3"/>
  <c r="K259" i="3"/>
  <c r="E259" i="3"/>
  <c r="S258" i="3"/>
  <c r="U258" i="3" s="1"/>
  <c r="F259" i="3"/>
  <c r="B259" i="3"/>
  <c r="O181" i="3"/>
  <c r="P181" i="3"/>
  <c r="I181" i="1"/>
  <c r="I178" i="1"/>
  <c r="J175" i="1" s="1"/>
  <c r="I177" i="1"/>
  <c r="H179" i="1"/>
  <c r="G260" i="3" l="1"/>
  <c r="C260" i="3"/>
  <c r="Q259" i="3"/>
  <c r="M258" i="3"/>
  <c r="L258" i="3"/>
  <c r="J260" i="3"/>
  <c r="F260" i="3"/>
  <c r="B260" i="3"/>
  <c r="K260" i="3"/>
  <c r="E260" i="3"/>
  <c r="I260" i="3"/>
  <c r="S259" i="3"/>
  <c r="U259" i="3" s="1"/>
  <c r="P182" i="3"/>
  <c r="O182" i="3"/>
  <c r="J181" i="1"/>
  <c r="J178" i="1"/>
  <c r="K175" i="1" s="1"/>
  <c r="J177" i="1"/>
  <c r="I179" i="1"/>
  <c r="C261" i="3" l="1"/>
  <c r="G261" i="3"/>
  <c r="Q260" i="3"/>
  <c r="M259" i="3"/>
  <c r="L259" i="3"/>
  <c r="J261" i="3"/>
  <c r="K261" i="3"/>
  <c r="E261" i="3"/>
  <c r="B261" i="3"/>
  <c r="S260" i="3"/>
  <c r="U260" i="3" s="1"/>
  <c r="I261" i="3"/>
  <c r="F261" i="3"/>
  <c r="P183" i="3"/>
  <c r="O183" i="3"/>
  <c r="K181" i="1"/>
  <c r="K177" i="1"/>
  <c r="K178" i="1"/>
  <c r="L175" i="1" s="1"/>
  <c r="J179" i="1"/>
  <c r="C262" i="3" l="1"/>
  <c r="G262" i="3"/>
  <c r="Q261" i="3"/>
  <c r="M260" i="3"/>
  <c r="L260" i="3"/>
  <c r="J262" i="3"/>
  <c r="F262" i="3"/>
  <c r="K262" i="3"/>
  <c r="E262" i="3"/>
  <c r="B262" i="3"/>
  <c r="S261" i="3"/>
  <c r="U261" i="3" s="1"/>
  <c r="I262" i="3"/>
  <c r="P184" i="3"/>
  <c r="O184" i="3"/>
  <c r="L178" i="1"/>
  <c r="M175" i="1" s="1"/>
  <c r="L181" i="1"/>
  <c r="L177" i="1"/>
  <c r="K179" i="1"/>
  <c r="C263" i="3" l="1"/>
  <c r="G263" i="3"/>
  <c r="Q262" i="3"/>
  <c r="M261" i="3"/>
  <c r="L261" i="3"/>
  <c r="J263" i="3"/>
  <c r="K263" i="3"/>
  <c r="I263" i="3"/>
  <c r="S262" i="3"/>
  <c r="U262" i="3" s="1"/>
  <c r="F263" i="3"/>
  <c r="B263" i="3"/>
  <c r="E263" i="3"/>
  <c r="O185" i="3"/>
  <c r="P185" i="3"/>
  <c r="O175" i="1"/>
  <c r="M178" i="1"/>
  <c r="O178" i="1" s="1"/>
  <c r="M177" i="1"/>
  <c r="M181" i="1"/>
  <c r="O181" i="1" s="1"/>
  <c r="L179" i="1"/>
  <c r="C264" i="3" l="1"/>
  <c r="G264" i="3"/>
  <c r="Q263" i="3"/>
  <c r="M262" i="3"/>
  <c r="L262" i="3"/>
  <c r="J264" i="3"/>
  <c r="F264" i="3"/>
  <c r="I264" i="3"/>
  <c r="K264" i="3"/>
  <c r="E264" i="3"/>
  <c r="S263" i="3"/>
  <c r="U263" i="3" s="1"/>
  <c r="B264" i="3"/>
  <c r="P186" i="3"/>
  <c r="O186" i="3"/>
  <c r="B184" i="1"/>
  <c r="M179" i="1"/>
  <c r="O177" i="1"/>
  <c r="O179" i="1" s="1"/>
  <c r="C265" i="3" l="1"/>
  <c r="G265" i="3"/>
  <c r="Q264" i="3"/>
  <c r="M263" i="3"/>
  <c r="L263" i="3"/>
  <c r="J265" i="3"/>
  <c r="F265" i="3"/>
  <c r="K265" i="3"/>
  <c r="E265" i="3"/>
  <c r="S264" i="3"/>
  <c r="U264" i="3" s="1"/>
  <c r="I265" i="3"/>
  <c r="B265" i="3"/>
  <c r="P187" i="3"/>
  <c r="O187" i="3"/>
  <c r="B186" i="1"/>
  <c r="B190" i="1"/>
  <c r="B187" i="1"/>
  <c r="C184" i="1" s="1"/>
  <c r="C266" i="3" l="1"/>
  <c r="G266" i="3"/>
  <c r="Q265" i="3"/>
  <c r="M264" i="3"/>
  <c r="L264" i="3"/>
  <c r="J266" i="3"/>
  <c r="F266" i="3"/>
  <c r="K266" i="3"/>
  <c r="E266" i="3"/>
  <c r="B266" i="3"/>
  <c r="S265" i="3"/>
  <c r="U265" i="3" s="1"/>
  <c r="I266" i="3"/>
  <c r="P188" i="3"/>
  <c r="O188" i="3"/>
  <c r="C186" i="1"/>
  <c r="C187" i="1"/>
  <c r="C190" i="1"/>
  <c r="B188" i="1"/>
  <c r="C267" i="3" l="1"/>
  <c r="G267" i="3"/>
  <c r="Q266" i="3"/>
  <c r="M265" i="3"/>
  <c r="L265" i="3"/>
  <c r="J267" i="3"/>
  <c r="F267" i="3"/>
  <c r="B267" i="3"/>
  <c r="K267" i="3"/>
  <c r="E267" i="3"/>
  <c r="S266" i="3"/>
  <c r="U266" i="3" s="1"/>
  <c r="I267" i="3"/>
  <c r="P189" i="3"/>
  <c r="O189" i="3"/>
  <c r="D184" i="1"/>
  <c r="C188" i="1"/>
  <c r="G268" i="3" l="1"/>
  <c r="C268" i="3"/>
  <c r="Q267" i="3"/>
  <c r="M266" i="3"/>
  <c r="L266" i="3"/>
  <c r="J268" i="3"/>
  <c r="F268" i="3"/>
  <c r="I268" i="3"/>
  <c r="K268" i="3"/>
  <c r="E268" i="3"/>
  <c r="S267" i="3"/>
  <c r="U267" i="3" s="1"/>
  <c r="B268" i="3"/>
  <c r="P190" i="3"/>
  <c r="O190" i="3"/>
  <c r="D187" i="1"/>
  <c r="E184" i="1" s="1"/>
  <c r="D190" i="1"/>
  <c r="D186" i="1"/>
  <c r="C269" i="3" l="1"/>
  <c r="G269" i="3"/>
  <c r="Q268" i="3"/>
  <c r="M267" i="3"/>
  <c r="L267" i="3"/>
  <c r="J269" i="3"/>
  <c r="E269" i="3"/>
  <c r="K269" i="3"/>
  <c r="F269" i="3"/>
  <c r="S268" i="3"/>
  <c r="U268" i="3" s="1"/>
  <c r="I269" i="3"/>
  <c r="B269" i="3"/>
  <c r="P191" i="3"/>
  <c r="O191" i="3"/>
  <c r="E186" i="1"/>
  <c r="E187" i="1"/>
  <c r="F184" i="1" s="1"/>
  <c r="E190" i="1"/>
  <c r="D188" i="1"/>
  <c r="C270" i="3" l="1"/>
  <c r="G270" i="3"/>
  <c r="Q269" i="3"/>
  <c r="M268" i="3"/>
  <c r="L268" i="3"/>
  <c r="J270" i="3"/>
  <c r="K270" i="3"/>
  <c r="E270" i="3"/>
  <c r="B270" i="3"/>
  <c r="S269" i="3"/>
  <c r="U269" i="3" s="1"/>
  <c r="F270" i="3"/>
  <c r="I270" i="3"/>
  <c r="P192" i="3"/>
  <c r="O192" i="3"/>
  <c r="F186" i="1"/>
  <c r="F187" i="1"/>
  <c r="G184" i="1" s="1"/>
  <c r="F190" i="1"/>
  <c r="E188" i="1"/>
  <c r="C271" i="3" l="1"/>
  <c r="G271" i="3"/>
  <c r="Q270" i="3"/>
  <c r="M269" i="3"/>
  <c r="L269" i="3"/>
  <c r="J271" i="3"/>
  <c r="F271" i="3"/>
  <c r="E271" i="3"/>
  <c r="K271" i="3"/>
  <c r="S270" i="3"/>
  <c r="U270" i="3" s="1"/>
  <c r="I271" i="3"/>
  <c r="B271" i="3"/>
  <c r="P193" i="3"/>
  <c r="O193" i="3"/>
  <c r="G186" i="1"/>
  <c r="G187" i="1"/>
  <c r="H184" i="1" s="1"/>
  <c r="G190" i="1"/>
  <c r="F188" i="1"/>
  <c r="G272" i="3" l="1"/>
  <c r="C272" i="3"/>
  <c r="Q271" i="3"/>
  <c r="M270" i="3"/>
  <c r="L270" i="3"/>
  <c r="J272" i="3"/>
  <c r="K272" i="3"/>
  <c r="E272" i="3"/>
  <c r="B272" i="3"/>
  <c r="S271" i="3"/>
  <c r="U271" i="3" s="1"/>
  <c r="F272" i="3"/>
  <c r="I272" i="3"/>
  <c r="P194" i="3"/>
  <c r="O194" i="3"/>
  <c r="H187" i="1"/>
  <c r="I184" i="1" s="1"/>
  <c r="H186" i="1"/>
  <c r="H190" i="1"/>
  <c r="G188" i="1"/>
  <c r="C273" i="3" l="1"/>
  <c r="G273" i="3"/>
  <c r="Q272" i="3"/>
  <c r="M271" i="3"/>
  <c r="L271" i="3"/>
  <c r="J273" i="3"/>
  <c r="E273" i="3"/>
  <c r="F273" i="3"/>
  <c r="K273" i="3"/>
  <c r="S272" i="3"/>
  <c r="U272" i="3" s="1"/>
  <c r="I273" i="3"/>
  <c r="B273" i="3"/>
  <c r="P195" i="3"/>
  <c r="O195" i="3"/>
  <c r="I190" i="1"/>
  <c r="I186" i="1"/>
  <c r="I187" i="1"/>
  <c r="J184" i="1" s="1"/>
  <c r="H188" i="1"/>
  <c r="C274" i="3" l="1"/>
  <c r="G274" i="3"/>
  <c r="Q273" i="3"/>
  <c r="M272" i="3"/>
  <c r="L272" i="3"/>
  <c r="J274" i="3"/>
  <c r="F274" i="3"/>
  <c r="K274" i="3"/>
  <c r="E274" i="3"/>
  <c r="S273" i="3"/>
  <c r="U273" i="3" s="1"/>
  <c r="I274" i="3"/>
  <c r="B274" i="3"/>
  <c r="P196" i="3"/>
  <c r="O196" i="3"/>
  <c r="I188" i="1"/>
  <c r="J186" i="1"/>
  <c r="J187" i="1"/>
  <c r="K184" i="1" s="1"/>
  <c r="J190" i="1"/>
  <c r="C275" i="3" l="1"/>
  <c r="G275" i="3"/>
  <c r="Q274" i="3"/>
  <c r="M273" i="3"/>
  <c r="L273" i="3"/>
  <c r="J275" i="3"/>
  <c r="I275" i="3"/>
  <c r="K275" i="3"/>
  <c r="E275" i="3"/>
  <c r="S274" i="3"/>
  <c r="U274" i="3" s="1"/>
  <c r="F275" i="3"/>
  <c r="B275" i="3"/>
  <c r="P197" i="3"/>
  <c r="O197" i="3"/>
  <c r="K187" i="1"/>
  <c r="L184" i="1" s="1"/>
  <c r="K190" i="1"/>
  <c r="K186" i="1"/>
  <c r="J188" i="1"/>
  <c r="G276" i="3" l="1"/>
  <c r="C276" i="3"/>
  <c r="Q275" i="3"/>
  <c r="M274" i="3"/>
  <c r="L274" i="3"/>
  <c r="J276" i="3"/>
  <c r="F276" i="3"/>
  <c r="I276" i="3"/>
  <c r="K276" i="3"/>
  <c r="E276" i="3"/>
  <c r="S275" i="3"/>
  <c r="U275" i="3" s="1"/>
  <c r="B276" i="3"/>
  <c r="P198" i="3"/>
  <c r="O198" i="3"/>
  <c r="K188" i="1"/>
  <c r="L187" i="1"/>
  <c r="M184" i="1" s="1"/>
  <c r="L186" i="1"/>
  <c r="L190" i="1"/>
  <c r="C277" i="3" l="1"/>
  <c r="G277" i="3"/>
  <c r="Q276" i="3"/>
  <c r="M275" i="3"/>
  <c r="L275" i="3"/>
  <c r="J277" i="3"/>
  <c r="F277" i="3"/>
  <c r="B277" i="3"/>
  <c r="K277" i="3"/>
  <c r="E277" i="3"/>
  <c r="S276" i="3"/>
  <c r="U276" i="3" s="1"/>
  <c r="I277" i="3"/>
  <c r="P199" i="3"/>
  <c r="O199" i="3"/>
  <c r="L188" i="1"/>
  <c r="M190" i="1"/>
  <c r="O190" i="1" s="1"/>
  <c r="M186" i="1"/>
  <c r="O184" i="1"/>
  <c r="M187" i="1"/>
  <c r="O187" i="1" s="1"/>
  <c r="C278" i="3" l="1"/>
  <c r="G278" i="3"/>
  <c r="Q277" i="3"/>
  <c r="M276" i="3"/>
  <c r="L276" i="3"/>
  <c r="J278" i="3"/>
  <c r="B193" i="1"/>
  <c r="B195" i="1" s="1"/>
  <c r="F278" i="3"/>
  <c r="B278" i="3"/>
  <c r="K278" i="3"/>
  <c r="E278" i="3"/>
  <c r="S277" i="3"/>
  <c r="U277" i="3" s="1"/>
  <c r="I278" i="3"/>
  <c r="P200" i="3"/>
  <c r="O200" i="3"/>
  <c r="M188" i="1"/>
  <c r="O186" i="1"/>
  <c r="O188" i="1" s="1"/>
  <c r="C279" i="3" l="1"/>
  <c r="G279" i="3"/>
  <c r="Q278" i="3"/>
  <c r="M277" i="3"/>
  <c r="L277" i="3"/>
  <c r="J279" i="3"/>
  <c r="B199" i="1"/>
  <c r="B196" i="1"/>
  <c r="B197" i="1" s="1"/>
  <c r="B279" i="3"/>
  <c r="K279" i="3"/>
  <c r="E279" i="3"/>
  <c r="I279" i="3"/>
  <c r="S278" i="3"/>
  <c r="U278" i="3" s="1"/>
  <c r="F279" i="3"/>
  <c r="P201" i="3"/>
  <c r="O201" i="3"/>
  <c r="C280" i="3" l="1"/>
  <c r="G280" i="3"/>
  <c r="Q279" i="3"/>
  <c r="M278" i="3"/>
  <c r="L278" i="3"/>
  <c r="J280" i="3"/>
  <c r="C193" i="1"/>
  <c r="C196" i="1" s="1"/>
  <c r="D193" i="1" s="1"/>
  <c r="F280" i="3"/>
  <c r="I280" i="3"/>
  <c r="K280" i="3"/>
  <c r="E280" i="3"/>
  <c r="S279" i="3"/>
  <c r="U279" i="3" s="1"/>
  <c r="B280" i="3"/>
  <c r="P202" i="3"/>
  <c r="O202" i="3"/>
  <c r="C281" i="3" l="1"/>
  <c r="G281" i="3"/>
  <c r="Q280" i="3"/>
  <c r="M279" i="3"/>
  <c r="L279" i="3"/>
  <c r="C195" i="1"/>
  <c r="C197" i="1" s="1"/>
  <c r="C199" i="1"/>
  <c r="J281" i="3"/>
  <c r="F281" i="3"/>
  <c r="K281" i="3"/>
  <c r="E281" i="3"/>
  <c r="B281" i="3"/>
  <c r="S280" i="3"/>
  <c r="U280" i="3" s="1"/>
  <c r="I281" i="3"/>
  <c r="P203" i="3"/>
  <c r="O203" i="3"/>
  <c r="D195" i="1"/>
  <c r="D199" i="1"/>
  <c r="D196" i="1"/>
  <c r="C282" i="3" l="1"/>
  <c r="G282" i="3"/>
  <c r="Q281" i="3"/>
  <c r="M280" i="3"/>
  <c r="L280" i="3"/>
  <c r="J282" i="3"/>
  <c r="F282" i="3"/>
  <c r="E282" i="3"/>
  <c r="B282" i="3"/>
  <c r="K282" i="3"/>
  <c r="S281" i="3"/>
  <c r="U281" i="3" s="1"/>
  <c r="I282" i="3"/>
  <c r="P204" i="3"/>
  <c r="O204" i="3"/>
  <c r="D197" i="1"/>
  <c r="E193" i="1"/>
  <c r="C283" i="3" l="1"/>
  <c r="G283" i="3"/>
  <c r="Q282" i="3"/>
  <c r="M281" i="3"/>
  <c r="L281" i="3"/>
  <c r="J283" i="3"/>
  <c r="F283" i="3"/>
  <c r="E283" i="3"/>
  <c r="K283" i="3"/>
  <c r="B283" i="3"/>
  <c r="S282" i="3"/>
  <c r="U282" i="3" s="1"/>
  <c r="I283" i="3"/>
  <c r="O205" i="3"/>
  <c r="P205" i="3"/>
  <c r="E196" i="1"/>
  <c r="F193" i="1" s="1"/>
  <c r="E199" i="1"/>
  <c r="E195" i="1"/>
  <c r="G284" i="3" l="1"/>
  <c r="C284" i="3"/>
  <c r="Q283" i="3"/>
  <c r="M282" i="3"/>
  <c r="L282" i="3"/>
  <c r="J284" i="3"/>
  <c r="F284" i="3"/>
  <c r="K284" i="3"/>
  <c r="E284" i="3"/>
  <c r="B284" i="3"/>
  <c r="I284" i="3"/>
  <c r="S283" i="3"/>
  <c r="U283" i="3" s="1"/>
  <c r="P206" i="3"/>
  <c r="O206" i="3"/>
  <c r="F196" i="1"/>
  <c r="G193" i="1" s="1"/>
  <c r="F195" i="1"/>
  <c r="F199" i="1"/>
  <c r="E197" i="1"/>
  <c r="C285" i="3" l="1"/>
  <c r="G285" i="3"/>
  <c r="Q284" i="3"/>
  <c r="M283" i="3"/>
  <c r="L283" i="3"/>
  <c r="J285" i="3"/>
  <c r="K285" i="3"/>
  <c r="E285" i="3"/>
  <c r="S284" i="3"/>
  <c r="U284" i="3" s="1"/>
  <c r="F285" i="3"/>
  <c r="B285" i="3"/>
  <c r="I285" i="3"/>
  <c r="P207" i="3"/>
  <c r="O207" i="3"/>
  <c r="F197" i="1"/>
  <c r="G195" i="1"/>
  <c r="G199" i="1"/>
  <c r="G196" i="1"/>
  <c r="H193" i="1" s="1"/>
  <c r="C286" i="3" l="1"/>
  <c r="G286" i="3"/>
  <c r="Q285" i="3"/>
  <c r="M284" i="3"/>
  <c r="L284" i="3"/>
  <c r="J286" i="3"/>
  <c r="K286" i="3"/>
  <c r="B286" i="3"/>
  <c r="E286" i="3"/>
  <c r="S285" i="3"/>
  <c r="U285" i="3" s="1"/>
  <c r="F286" i="3"/>
  <c r="I286" i="3"/>
  <c r="P208" i="3"/>
  <c r="O208" i="3"/>
  <c r="G197" i="1"/>
  <c r="H199" i="1"/>
  <c r="H195" i="1"/>
  <c r="H196" i="1"/>
  <c r="I193" i="1" s="1"/>
  <c r="C287" i="3" l="1"/>
  <c r="G287" i="3"/>
  <c r="Q286" i="3"/>
  <c r="M285" i="3"/>
  <c r="L285" i="3"/>
  <c r="J287" i="3"/>
  <c r="F287" i="3"/>
  <c r="B287" i="3"/>
  <c r="K287" i="3"/>
  <c r="E287" i="3"/>
  <c r="S286" i="3"/>
  <c r="U286" i="3" s="1"/>
  <c r="I287" i="3"/>
  <c r="P209" i="3"/>
  <c r="O209" i="3"/>
  <c r="H197" i="1"/>
  <c r="I196" i="1"/>
  <c r="J193" i="1" s="1"/>
  <c r="I195" i="1"/>
  <c r="I199" i="1"/>
  <c r="G288" i="3" l="1"/>
  <c r="C288" i="3"/>
  <c r="Q287" i="3"/>
  <c r="M286" i="3"/>
  <c r="L286" i="3"/>
  <c r="J288" i="3"/>
  <c r="K288" i="3"/>
  <c r="E288" i="3"/>
  <c r="I288" i="3"/>
  <c r="S287" i="3"/>
  <c r="U287" i="3" s="1"/>
  <c r="F288" i="3"/>
  <c r="B288" i="3"/>
  <c r="P210" i="3"/>
  <c r="O210" i="3"/>
  <c r="I197" i="1"/>
  <c r="J199" i="1"/>
  <c r="J195" i="1"/>
  <c r="J196" i="1"/>
  <c r="K193" i="1" s="1"/>
  <c r="C289" i="3" l="1"/>
  <c r="G289" i="3"/>
  <c r="Q288" i="3"/>
  <c r="M287" i="3"/>
  <c r="L287" i="3"/>
  <c r="J289" i="3"/>
  <c r="E289" i="3"/>
  <c r="B289" i="3"/>
  <c r="K289" i="3"/>
  <c r="F289" i="3"/>
  <c r="S288" i="3"/>
  <c r="U288" i="3" s="1"/>
  <c r="I289" i="3"/>
  <c r="P211" i="3"/>
  <c r="O211" i="3"/>
  <c r="J197" i="1"/>
  <c r="K196" i="1"/>
  <c r="L193" i="1" s="1"/>
  <c r="K195" i="1"/>
  <c r="K199" i="1"/>
  <c r="C290" i="3" l="1"/>
  <c r="G290" i="3"/>
  <c r="Q289" i="3"/>
  <c r="M288" i="3"/>
  <c r="L288" i="3"/>
  <c r="J290" i="3"/>
  <c r="F290" i="3"/>
  <c r="K290" i="3"/>
  <c r="E290" i="3"/>
  <c r="S289" i="3"/>
  <c r="U289" i="3" s="1"/>
  <c r="I290" i="3"/>
  <c r="B290" i="3"/>
  <c r="K197" i="1"/>
  <c r="P212" i="3"/>
  <c r="O212" i="3"/>
  <c r="L195" i="1"/>
  <c r="L199" i="1"/>
  <c r="L196" i="1"/>
  <c r="M193" i="1" s="1"/>
  <c r="C291" i="3" l="1"/>
  <c r="G291" i="3"/>
  <c r="Q290" i="3"/>
  <c r="M289" i="3"/>
  <c r="L289" i="3"/>
  <c r="J291" i="3"/>
  <c r="I291" i="3"/>
  <c r="B291" i="3"/>
  <c r="E291" i="3"/>
  <c r="K291" i="3"/>
  <c r="S290" i="3"/>
  <c r="U290" i="3" s="1"/>
  <c r="F291" i="3"/>
  <c r="O213" i="3"/>
  <c r="P213" i="3"/>
  <c r="L197" i="1"/>
  <c r="M196" i="1"/>
  <c r="O196" i="1" s="1"/>
  <c r="O193" i="1"/>
  <c r="M195" i="1"/>
  <c r="M199" i="1"/>
  <c r="O199" i="1" l="1"/>
  <c r="D21" i="2" s="1"/>
  <c r="K9" i="1" s="1"/>
  <c r="G292" i="3"/>
  <c r="C292" i="3"/>
  <c r="Q291" i="3"/>
  <c r="M290" i="3"/>
  <c r="L290" i="3"/>
  <c r="J292" i="3"/>
  <c r="F292" i="3"/>
  <c r="B292" i="3"/>
  <c r="K292" i="3"/>
  <c r="E292" i="3"/>
  <c r="I292" i="3"/>
  <c r="S291" i="3"/>
  <c r="U291" i="3" s="1"/>
  <c r="P214" i="3"/>
  <c r="O214" i="3"/>
  <c r="M197" i="1"/>
  <c r="O195" i="1"/>
  <c r="O197" i="1" s="1"/>
  <c r="C293" i="3" l="1"/>
  <c r="G293" i="3"/>
  <c r="Q292" i="3"/>
  <c r="M291" i="3"/>
  <c r="L291" i="3"/>
  <c r="J293" i="3"/>
  <c r="F293" i="3"/>
  <c r="B293" i="3"/>
  <c r="K293" i="3"/>
  <c r="S292" i="3"/>
  <c r="U292" i="3" s="1"/>
  <c r="I293" i="3"/>
  <c r="E293" i="3"/>
  <c r="P215" i="3"/>
  <c r="O215" i="3"/>
  <c r="C294" i="3" l="1"/>
  <c r="G294" i="3"/>
  <c r="Q293" i="3"/>
  <c r="M292" i="3"/>
  <c r="L292" i="3"/>
  <c r="J294" i="3"/>
  <c r="F294" i="3"/>
  <c r="K294" i="3"/>
  <c r="E294" i="3"/>
  <c r="B294" i="3"/>
  <c r="S293" i="3"/>
  <c r="U293" i="3" s="1"/>
  <c r="I294" i="3"/>
  <c r="P216" i="3"/>
  <c r="O216" i="3"/>
  <c r="C295" i="3" l="1"/>
  <c r="G295" i="3"/>
  <c r="Q294" i="3"/>
  <c r="M293" i="3"/>
  <c r="L293" i="3"/>
  <c r="J295" i="3"/>
  <c r="I295" i="3"/>
  <c r="K295" i="3"/>
  <c r="B295" i="3"/>
  <c r="E295" i="3"/>
  <c r="S294" i="3"/>
  <c r="U294" i="3" s="1"/>
  <c r="F295" i="3"/>
  <c r="P217" i="3"/>
  <c r="O217" i="3"/>
  <c r="C296" i="3" l="1"/>
  <c r="G296" i="3"/>
  <c r="Q295" i="3"/>
  <c r="M294" i="3"/>
  <c r="L294" i="3"/>
  <c r="J296" i="3"/>
  <c r="F296" i="3"/>
  <c r="I296" i="3"/>
  <c r="K296" i="3"/>
  <c r="E296" i="3"/>
  <c r="B296" i="3"/>
  <c r="S295" i="3"/>
  <c r="U295" i="3" s="1"/>
  <c r="P218" i="3"/>
  <c r="O218" i="3"/>
  <c r="C297" i="3" l="1"/>
  <c r="G297" i="3"/>
  <c r="Q296" i="3"/>
  <c r="M295" i="3"/>
  <c r="L295" i="3"/>
  <c r="J297" i="3"/>
  <c r="F297" i="3"/>
  <c r="B297" i="3"/>
  <c r="K297" i="3"/>
  <c r="E297" i="3"/>
  <c r="S296" i="3"/>
  <c r="U296" i="3" s="1"/>
  <c r="I297" i="3"/>
  <c r="P219" i="3"/>
  <c r="O219" i="3"/>
  <c r="C298" i="3" l="1"/>
  <c r="G298" i="3"/>
  <c r="Q297" i="3"/>
  <c r="M296" i="3"/>
  <c r="L296" i="3"/>
  <c r="J298" i="3"/>
  <c r="F298" i="3"/>
  <c r="E298" i="3"/>
  <c r="B298" i="3"/>
  <c r="K298" i="3"/>
  <c r="S297" i="3"/>
  <c r="U297" i="3" s="1"/>
  <c r="I298" i="3"/>
  <c r="P220" i="3"/>
  <c r="O220" i="3"/>
  <c r="C299" i="3" l="1"/>
  <c r="G299" i="3"/>
  <c r="Q298" i="3"/>
  <c r="M297" i="3"/>
  <c r="L297" i="3"/>
  <c r="J299" i="3"/>
  <c r="F299" i="3"/>
  <c r="K299" i="3"/>
  <c r="B299" i="3"/>
  <c r="E299" i="3"/>
  <c r="S298" i="3"/>
  <c r="U298" i="3" s="1"/>
  <c r="I299" i="3"/>
  <c r="P221" i="3"/>
  <c r="O221" i="3"/>
  <c r="G300" i="3" l="1"/>
  <c r="C300" i="3"/>
  <c r="Q299" i="3"/>
  <c r="M298" i="3"/>
  <c r="L298" i="3"/>
  <c r="J300" i="3"/>
  <c r="F300" i="3"/>
  <c r="K300" i="3"/>
  <c r="E300" i="3"/>
  <c r="B300" i="3"/>
  <c r="I300" i="3"/>
  <c r="S299" i="3"/>
  <c r="U299" i="3" s="1"/>
  <c r="P222" i="3"/>
  <c r="O222" i="3"/>
  <c r="C301" i="3" l="1"/>
  <c r="G301" i="3"/>
  <c r="Q300" i="3"/>
  <c r="M299" i="3"/>
  <c r="L299" i="3"/>
  <c r="J301" i="3"/>
  <c r="E301" i="3"/>
  <c r="K301" i="3"/>
  <c r="F301" i="3"/>
  <c r="B301" i="3"/>
  <c r="S300" i="3"/>
  <c r="U300" i="3" s="1"/>
  <c r="I301" i="3"/>
  <c r="P223" i="3"/>
  <c r="O223" i="3"/>
  <c r="C302" i="3" l="1"/>
  <c r="G302" i="3"/>
  <c r="Q301" i="3"/>
  <c r="M300" i="3"/>
  <c r="L300" i="3"/>
  <c r="J302" i="3"/>
  <c r="S301" i="3"/>
  <c r="U301" i="3" s="1"/>
  <c r="E302" i="3"/>
  <c r="K302" i="3"/>
  <c r="B302" i="3"/>
  <c r="I302" i="3"/>
  <c r="F302" i="3"/>
  <c r="P224" i="3"/>
  <c r="O224" i="3"/>
  <c r="C303" i="3" l="1"/>
  <c r="G303" i="3"/>
  <c r="Q302" i="3"/>
  <c r="M301" i="3"/>
  <c r="L301" i="3"/>
  <c r="J303" i="3"/>
  <c r="F303" i="3"/>
  <c r="K303" i="3"/>
  <c r="B303" i="3"/>
  <c r="E303" i="3"/>
  <c r="S302" i="3"/>
  <c r="U302" i="3" s="1"/>
  <c r="I303" i="3"/>
  <c r="P225" i="3"/>
  <c r="O225" i="3"/>
  <c r="G304" i="3" l="1"/>
  <c r="C304" i="3"/>
  <c r="Q303" i="3"/>
  <c r="M302" i="3"/>
  <c r="L302" i="3"/>
  <c r="J304" i="3"/>
  <c r="K304" i="3"/>
  <c r="E304" i="3"/>
  <c r="I304" i="3"/>
  <c r="B304" i="3"/>
  <c r="S303" i="3"/>
  <c r="U303" i="3" s="1"/>
  <c r="F304" i="3"/>
  <c r="P226" i="3"/>
  <c r="O226" i="3"/>
  <c r="C305" i="3" l="1"/>
  <c r="G305" i="3"/>
  <c r="Q304" i="3"/>
  <c r="M303" i="3"/>
  <c r="L303" i="3"/>
  <c r="J305" i="3"/>
  <c r="E305" i="3"/>
  <c r="K305" i="3"/>
  <c r="B305" i="3"/>
  <c r="F305" i="3"/>
  <c r="S304" i="3"/>
  <c r="U304" i="3" s="1"/>
  <c r="I305" i="3"/>
  <c r="P227" i="3"/>
  <c r="O227" i="3"/>
  <c r="C306" i="3" l="1"/>
  <c r="G306" i="3"/>
  <c r="Q305" i="3"/>
  <c r="M304" i="3"/>
  <c r="L304" i="3"/>
  <c r="J306" i="3"/>
  <c r="F306" i="3"/>
  <c r="K306" i="3"/>
  <c r="E306" i="3"/>
  <c r="B306" i="3"/>
  <c r="S305" i="3"/>
  <c r="U305" i="3" s="1"/>
  <c r="I306" i="3"/>
  <c r="P228" i="3"/>
  <c r="O228" i="3"/>
  <c r="C307" i="3" l="1"/>
  <c r="G307" i="3"/>
  <c r="Q306" i="3"/>
  <c r="M305" i="3"/>
  <c r="L305" i="3"/>
  <c r="J307" i="3"/>
  <c r="I307" i="3"/>
  <c r="K307" i="3"/>
  <c r="B307" i="3"/>
  <c r="E307" i="3"/>
  <c r="S306" i="3"/>
  <c r="U306" i="3" s="1"/>
  <c r="F307" i="3"/>
  <c r="P229" i="3"/>
  <c r="O229" i="3"/>
  <c r="G308" i="3" l="1"/>
  <c r="C308" i="3"/>
  <c r="Q307" i="3"/>
  <c r="M306" i="3"/>
  <c r="L306" i="3"/>
  <c r="J308" i="3"/>
  <c r="F308" i="3"/>
  <c r="K308" i="3"/>
  <c r="E308" i="3"/>
  <c r="B308" i="3"/>
  <c r="I308" i="3"/>
  <c r="S307" i="3"/>
  <c r="U307" i="3" s="1"/>
  <c r="P230" i="3"/>
  <c r="O230" i="3"/>
  <c r="C309" i="3" l="1"/>
  <c r="G309" i="3"/>
  <c r="Q308" i="3"/>
  <c r="M307" i="3"/>
  <c r="L307" i="3"/>
  <c r="J309" i="3"/>
  <c r="F309" i="3"/>
  <c r="K309" i="3"/>
  <c r="E309" i="3"/>
  <c r="B309" i="3"/>
  <c r="S308" i="3"/>
  <c r="U308" i="3" s="1"/>
  <c r="I309" i="3"/>
  <c r="P231" i="3"/>
  <c r="O231" i="3"/>
  <c r="C310" i="3" l="1"/>
  <c r="G310" i="3"/>
  <c r="Q309" i="3"/>
  <c r="M308" i="3"/>
  <c r="L308" i="3"/>
  <c r="J310" i="3"/>
  <c r="K310" i="3"/>
  <c r="E310" i="3"/>
  <c r="B310" i="3"/>
  <c r="I310" i="3"/>
  <c r="S309" i="3"/>
  <c r="U309" i="3" s="1"/>
  <c r="F310" i="3"/>
  <c r="P232" i="3"/>
  <c r="O232" i="3"/>
  <c r="C311" i="3" l="1"/>
  <c r="G311" i="3"/>
  <c r="Q310" i="3"/>
  <c r="M309" i="3"/>
  <c r="L309" i="3"/>
  <c r="J311" i="3"/>
  <c r="K311" i="3"/>
  <c r="I311" i="3"/>
  <c r="B311" i="3"/>
  <c r="E311" i="3"/>
  <c r="S310" i="3"/>
  <c r="U310" i="3" s="1"/>
  <c r="F311" i="3"/>
  <c r="P233" i="3"/>
  <c r="O233" i="3"/>
  <c r="C312" i="3" l="1"/>
  <c r="G312" i="3"/>
  <c r="Q311" i="3"/>
  <c r="M310" i="3"/>
  <c r="L310" i="3"/>
  <c r="J312" i="3"/>
  <c r="F312" i="3"/>
  <c r="K312" i="3"/>
  <c r="E312" i="3"/>
  <c r="B312" i="3"/>
  <c r="I312" i="3"/>
  <c r="S311" i="3"/>
  <c r="U311" i="3" s="1"/>
  <c r="P234" i="3"/>
  <c r="O234" i="3"/>
  <c r="C313" i="3" l="1"/>
  <c r="G313" i="3"/>
  <c r="Q312" i="3"/>
  <c r="M311" i="3"/>
  <c r="L311" i="3"/>
  <c r="J313" i="3"/>
  <c r="F313" i="3"/>
  <c r="K313" i="3"/>
  <c r="E313" i="3"/>
  <c r="B313" i="3"/>
  <c r="S312" i="3"/>
  <c r="U312" i="3" s="1"/>
  <c r="I313" i="3"/>
  <c r="P235" i="3"/>
  <c r="O235" i="3"/>
  <c r="C314" i="3" l="1"/>
  <c r="G314" i="3"/>
  <c r="Q313" i="3"/>
  <c r="M312" i="3"/>
  <c r="L312" i="3"/>
  <c r="J314" i="3"/>
  <c r="K314" i="3"/>
  <c r="E314" i="3"/>
  <c r="B314" i="3"/>
  <c r="I314" i="3"/>
  <c r="S313" i="3"/>
  <c r="U313" i="3" s="1"/>
  <c r="F314" i="3"/>
  <c r="P236" i="3"/>
  <c r="O236" i="3"/>
  <c r="C315" i="3" l="1"/>
  <c r="G315" i="3"/>
  <c r="Q314" i="3"/>
  <c r="M313" i="3"/>
  <c r="L313" i="3"/>
  <c r="J315" i="3"/>
  <c r="F315" i="3"/>
  <c r="K315" i="3"/>
  <c r="B315" i="3"/>
  <c r="E315" i="3"/>
  <c r="S314" i="3"/>
  <c r="U314" i="3" s="1"/>
  <c r="I315" i="3"/>
  <c r="P237" i="3"/>
  <c r="O237" i="3"/>
  <c r="G316" i="3" l="1"/>
  <c r="C316" i="3"/>
  <c r="Q315" i="3"/>
  <c r="M314" i="3"/>
  <c r="L314" i="3"/>
  <c r="J316" i="3"/>
  <c r="F316" i="3"/>
  <c r="K316" i="3"/>
  <c r="E316" i="3"/>
  <c r="B316" i="3"/>
  <c r="I316" i="3"/>
  <c r="S315" i="3"/>
  <c r="U315" i="3" s="1"/>
  <c r="P238" i="3"/>
  <c r="O238" i="3"/>
  <c r="C317" i="3" l="1"/>
  <c r="G317" i="3"/>
  <c r="Q316" i="3"/>
  <c r="M315" i="3"/>
  <c r="L315" i="3"/>
  <c r="J317" i="3"/>
  <c r="E317" i="3"/>
  <c r="K317" i="3"/>
  <c r="F317" i="3"/>
  <c r="B317" i="3"/>
  <c r="S316" i="3"/>
  <c r="U316" i="3" s="1"/>
  <c r="I317" i="3"/>
  <c r="P239" i="3"/>
  <c r="O239" i="3"/>
  <c r="C318" i="3" l="1"/>
  <c r="G318" i="3"/>
  <c r="Q317" i="3"/>
  <c r="M316" i="3"/>
  <c r="L316" i="3"/>
  <c r="J318" i="3"/>
  <c r="S317" i="3"/>
  <c r="U317" i="3" s="1"/>
  <c r="I318" i="3"/>
  <c r="E318" i="3"/>
  <c r="B318" i="3"/>
  <c r="K318" i="3"/>
  <c r="F318" i="3"/>
  <c r="P240" i="3"/>
  <c r="O240" i="3"/>
  <c r="C319" i="3" l="1"/>
  <c r="G319" i="3"/>
  <c r="Q318" i="3"/>
  <c r="M317" i="3"/>
  <c r="L317" i="3"/>
  <c r="J319" i="3"/>
  <c r="F319" i="3"/>
  <c r="K319" i="3"/>
  <c r="B319" i="3"/>
  <c r="E319" i="3"/>
  <c r="S318" i="3"/>
  <c r="U318" i="3" s="1"/>
  <c r="I319" i="3"/>
  <c r="P241" i="3"/>
  <c r="O241" i="3"/>
  <c r="G320" i="3" l="1"/>
  <c r="C320" i="3"/>
  <c r="Q319" i="3"/>
  <c r="M318" i="3"/>
  <c r="L318" i="3"/>
  <c r="J320" i="3"/>
  <c r="K320" i="3"/>
  <c r="F320" i="3"/>
  <c r="S319" i="3"/>
  <c r="U319" i="3" s="1"/>
  <c r="I320" i="3"/>
  <c r="E320" i="3"/>
  <c r="B320" i="3"/>
  <c r="P242" i="3"/>
  <c r="O242" i="3"/>
  <c r="C321" i="3" l="1"/>
  <c r="G321" i="3"/>
  <c r="Q320" i="3"/>
  <c r="M319" i="3"/>
  <c r="L319" i="3"/>
  <c r="J321" i="3"/>
  <c r="E321" i="3"/>
  <c r="B321" i="3"/>
  <c r="F321" i="3"/>
  <c r="S320" i="3"/>
  <c r="U320" i="3" s="1"/>
  <c r="I321" i="3"/>
  <c r="K321" i="3"/>
  <c r="P243" i="3"/>
  <c r="O243" i="3"/>
  <c r="C322" i="3" l="1"/>
  <c r="G322" i="3"/>
  <c r="Q321" i="3"/>
  <c r="M320" i="3"/>
  <c r="L320" i="3"/>
  <c r="J322" i="3"/>
  <c r="K322" i="3"/>
  <c r="E322" i="3"/>
  <c r="B322" i="3"/>
  <c r="I322" i="3"/>
  <c r="S321" i="3"/>
  <c r="U321" i="3" s="1"/>
  <c r="F322" i="3"/>
  <c r="P244" i="3"/>
  <c r="O244" i="3"/>
  <c r="C323" i="3" l="1"/>
  <c r="G323" i="3"/>
  <c r="Q322" i="3"/>
  <c r="M321" i="3"/>
  <c r="L321" i="3"/>
  <c r="J323" i="3"/>
  <c r="I323" i="3"/>
  <c r="B323" i="3"/>
  <c r="E323" i="3"/>
  <c r="K323" i="3"/>
  <c r="S322" i="3"/>
  <c r="U322" i="3" s="1"/>
  <c r="F323" i="3"/>
  <c r="P245" i="3"/>
  <c r="O245" i="3"/>
  <c r="G324" i="3" l="1"/>
  <c r="C324" i="3"/>
  <c r="Q323" i="3"/>
  <c r="M322" i="3"/>
  <c r="L322" i="3"/>
  <c r="J324" i="3"/>
  <c r="F324" i="3"/>
  <c r="B324" i="3"/>
  <c r="I324" i="3"/>
  <c r="K324" i="3"/>
  <c r="E324" i="3"/>
  <c r="S323" i="3"/>
  <c r="U323" i="3" s="1"/>
  <c r="P246" i="3"/>
  <c r="O246" i="3"/>
  <c r="C325" i="3" l="1"/>
  <c r="G325" i="3"/>
  <c r="Q324" i="3"/>
  <c r="M323" i="3"/>
  <c r="L323" i="3"/>
  <c r="J325" i="3"/>
  <c r="F325" i="3"/>
  <c r="K325" i="3"/>
  <c r="E325" i="3"/>
  <c r="B325" i="3"/>
  <c r="S324" i="3"/>
  <c r="U324" i="3" s="1"/>
  <c r="I325" i="3"/>
  <c r="P247" i="3"/>
  <c r="O247" i="3"/>
  <c r="C326" i="3" l="1"/>
  <c r="G326" i="3"/>
  <c r="Q325" i="3"/>
  <c r="M324" i="3"/>
  <c r="L324" i="3"/>
  <c r="J326" i="3"/>
  <c r="B326" i="3"/>
  <c r="K326" i="3"/>
  <c r="E326" i="3"/>
  <c r="I326" i="3"/>
  <c r="S325" i="3"/>
  <c r="U325" i="3" s="1"/>
  <c r="F326" i="3"/>
  <c r="P248" i="3"/>
  <c r="O248" i="3"/>
  <c r="T250" i="3"/>
  <c r="C327" i="3" l="1"/>
  <c r="G327" i="3"/>
  <c r="Q326" i="3"/>
  <c r="M325" i="3"/>
  <c r="L325" i="3"/>
  <c r="J327" i="3"/>
  <c r="K327" i="3"/>
  <c r="I327" i="3"/>
  <c r="B327" i="3"/>
  <c r="E327" i="3"/>
  <c r="S326" i="3"/>
  <c r="U326" i="3" s="1"/>
  <c r="F327" i="3"/>
  <c r="P249" i="3"/>
  <c r="O249" i="3"/>
  <c r="T251" i="3"/>
  <c r="V250" i="3"/>
  <c r="C328" i="3" l="1"/>
  <c r="G328" i="3"/>
  <c r="Q327" i="3"/>
  <c r="M326" i="3"/>
  <c r="L326" i="3"/>
  <c r="J328" i="3"/>
  <c r="F328" i="3"/>
  <c r="K328" i="3"/>
  <c r="E328" i="3"/>
  <c r="B328" i="3"/>
  <c r="I328" i="3"/>
  <c r="S327" i="3"/>
  <c r="U327" i="3" s="1"/>
  <c r="P250" i="3"/>
  <c r="O250" i="3"/>
  <c r="T252" i="3"/>
  <c r="V251" i="3"/>
  <c r="C329" i="3" l="1"/>
  <c r="G329" i="3"/>
  <c r="Q328" i="3"/>
  <c r="M327" i="3"/>
  <c r="L327" i="3"/>
  <c r="J329" i="3"/>
  <c r="F329" i="3"/>
  <c r="K329" i="3"/>
  <c r="E329" i="3"/>
  <c r="B329" i="3"/>
  <c r="S328" i="3"/>
  <c r="U328" i="3" s="1"/>
  <c r="I329" i="3"/>
  <c r="P251" i="3"/>
  <c r="O251" i="3"/>
  <c r="T253" i="3"/>
  <c r="V252" i="3"/>
  <c r="C330" i="3" l="1"/>
  <c r="G330" i="3"/>
  <c r="Q329" i="3"/>
  <c r="M328" i="3"/>
  <c r="L328" i="3"/>
  <c r="J330" i="3"/>
  <c r="B330" i="3"/>
  <c r="I330" i="3"/>
  <c r="K330" i="3"/>
  <c r="E330" i="3"/>
  <c r="S329" i="3"/>
  <c r="U329" i="3" s="1"/>
  <c r="F330" i="3"/>
  <c r="P252" i="3"/>
  <c r="O252" i="3"/>
  <c r="T254" i="3"/>
  <c r="V253" i="3"/>
  <c r="C331" i="3" l="1"/>
  <c r="G331" i="3"/>
  <c r="Q330" i="3"/>
  <c r="M329" i="3"/>
  <c r="L329" i="3"/>
  <c r="J331" i="3"/>
  <c r="F331" i="3"/>
  <c r="B331" i="3"/>
  <c r="K331" i="3"/>
  <c r="E331" i="3"/>
  <c r="S330" i="3"/>
  <c r="U330" i="3" s="1"/>
  <c r="I331" i="3"/>
  <c r="P253" i="3"/>
  <c r="O253" i="3"/>
  <c r="T255" i="3"/>
  <c r="V254" i="3"/>
  <c r="G332" i="3" l="1"/>
  <c r="C332" i="3"/>
  <c r="Q331" i="3"/>
  <c r="M330" i="3"/>
  <c r="L330" i="3"/>
  <c r="J332" i="3"/>
  <c r="F332" i="3"/>
  <c r="B332" i="3"/>
  <c r="K332" i="3"/>
  <c r="E332" i="3"/>
  <c r="I332" i="3"/>
  <c r="S331" i="3"/>
  <c r="U331" i="3" s="1"/>
  <c r="P254" i="3"/>
  <c r="O254" i="3"/>
  <c r="T256" i="3"/>
  <c r="V255" i="3"/>
  <c r="C333" i="3" l="1"/>
  <c r="G333" i="3"/>
  <c r="Q332" i="3"/>
  <c r="M331" i="3"/>
  <c r="L331" i="3"/>
  <c r="J333" i="3"/>
  <c r="E333" i="3"/>
  <c r="K333" i="3"/>
  <c r="F333" i="3"/>
  <c r="B333" i="3"/>
  <c r="S332" i="3"/>
  <c r="U332" i="3" s="1"/>
  <c r="I333" i="3"/>
  <c r="P255" i="3"/>
  <c r="O255" i="3"/>
  <c r="T257" i="3"/>
  <c r="V256" i="3"/>
  <c r="C334" i="3" l="1"/>
  <c r="G334" i="3"/>
  <c r="Q333" i="3"/>
  <c r="M332" i="3"/>
  <c r="L332" i="3"/>
  <c r="J334" i="3"/>
  <c r="S333" i="3"/>
  <c r="U333" i="3" s="1"/>
  <c r="I334" i="3"/>
  <c r="E334" i="3"/>
  <c r="B334" i="3"/>
  <c r="F334" i="3"/>
  <c r="K334" i="3"/>
  <c r="P256" i="3"/>
  <c r="O256" i="3"/>
  <c r="T258" i="3"/>
  <c r="V257" i="3"/>
  <c r="C335" i="3" l="1"/>
  <c r="G335" i="3"/>
  <c r="Q334" i="3"/>
  <c r="M333" i="3"/>
  <c r="L333" i="3"/>
  <c r="J335" i="3"/>
  <c r="F335" i="3"/>
  <c r="K335" i="3"/>
  <c r="B335" i="3"/>
  <c r="E335" i="3"/>
  <c r="S334" i="3"/>
  <c r="U334" i="3" s="1"/>
  <c r="I335" i="3"/>
  <c r="P257" i="3"/>
  <c r="O257" i="3"/>
  <c r="T259" i="3"/>
  <c r="V258" i="3"/>
  <c r="G336" i="3" l="1"/>
  <c r="C336" i="3"/>
  <c r="Q335" i="3"/>
  <c r="M334" i="3"/>
  <c r="L334" i="3"/>
  <c r="J336" i="3"/>
  <c r="K336" i="3"/>
  <c r="F336" i="3"/>
  <c r="E336" i="3"/>
  <c r="B336" i="3"/>
  <c r="I336" i="3"/>
  <c r="S335" i="3"/>
  <c r="U335" i="3" s="1"/>
  <c r="P258" i="3"/>
  <c r="O258" i="3"/>
  <c r="T260" i="3"/>
  <c r="V259" i="3"/>
  <c r="C337" i="3" l="1"/>
  <c r="G337" i="3"/>
  <c r="Q336" i="3"/>
  <c r="M335" i="3"/>
  <c r="L335" i="3"/>
  <c r="J337" i="3"/>
  <c r="K337" i="3"/>
  <c r="B337" i="3"/>
  <c r="I337" i="3"/>
  <c r="F337" i="3"/>
  <c r="S336" i="3"/>
  <c r="U336" i="3" s="1"/>
  <c r="E337" i="3"/>
  <c r="P259" i="3"/>
  <c r="O259" i="3"/>
  <c r="T261" i="3"/>
  <c r="V260" i="3"/>
  <c r="C338" i="3" l="1"/>
  <c r="G338" i="3"/>
  <c r="Q337" i="3"/>
  <c r="M336" i="3"/>
  <c r="L336" i="3"/>
  <c r="J338" i="3"/>
  <c r="F338" i="3"/>
  <c r="K338" i="3"/>
  <c r="E338" i="3"/>
  <c r="B338" i="3"/>
  <c r="I338" i="3"/>
  <c r="S337" i="3"/>
  <c r="U337" i="3" s="1"/>
  <c r="P260" i="3"/>
  <c r="O260" i="3"/>
  <c r="T262" i="3"/>
  <c r="V261" i="3"/>
  <c r="C339" i="3" l="1"/>
  <c r="G339" i="3"/>
  <c r="Q338" i="3"/>
  <c r="M337" i="3"/>
  <c r="L337" i="3"/>
  <c r="J339" i="3"/>
  <c r="I339" i="3"/>
  <c r="K339" i="3"/>
  <c r="B339" i="3"/>
  <c r="E339" i="3"/>
  <c r="S338" i="3"/>
  <c r="U338" i="3" s="1"/>
  <c r="F339" i="3"/>
  <c r="P261" i="3"/>
  <c r="O261" i="3"/>
  <c r="T263" i="3"/>
  <c r="V262" i="3"/>
  <c r="G340" i="3" l="1"/>
  <c r="C340" i="3"/>
  <c r="Q339" i="3"/>
  <c r="M338" i="3"/>
  <c r="L338" i="3"/>
  <c r="J340" i="3"/>
  <c r="F340" i="3"/>
  <c r="K340" i="3"/>
  <c r="E340" i="3"/>
  <c r="B340" i="3"/>
  <c r="I340" i="3"/>
  <c r="S339" i="3"/>
  <c r="U339" i="3" s="1"/>
  <c r="P262" i="3"/>
  <c r="O262" i="3"/>
  <c r="T264" i="3"/>
  <c r="V263" i="3"/>
  <c r="C341" i="3" l="1"/>
  <c r="G341" i="3"/>
  <c r="Q340" i="3"/>
  <c r="M339" i="3"/>
  <c r="L339" i="3"/>
  <c r="J341" i="3"/>
  <c r="F341" i="3"/>
  <c r="K341" i="3"/>
  <c r="E341" i="3"/>
  <c r="B341" i="3"/>
  <c r="I341" i="3"/>
  <c r="S340" i="3"/>
  <c r="U340" i="3" s="1"/>
  <c r="P263" i="3"/>
  <c r="O263" i="3"/>
  <c r="T265" i="3"/>
  <c r="V264" i="3"/>
  <c r="C342" i="3" l="1"/>
  <c r="G342" i="3"/>
  <c r="Q341" i="3"/>
  <c r="M340" i="3"/>
  <c r="L340" i="3"/>
  <c r="J342" i="3"/>
  <c r="K342" i="3"/>
  <c r="E342" i="3"/>
  <c r="B342" i="3"/>
  <c r="I342" i="3"/>
  <c r="S341" i="3"/>
  <c r="U341" i="3" s="1"/>
  <c r="F342" i="3"/>
  <c r="P264" i="3"/>
  <c r="O264" i="3"/>
  <c r="T266" i="3"/>
  <c r="V265" i="3"/>
  <c r="C343" i="3" l="1"/>
  <c r="G343" i="3"/>
  <c r="Q342" i="3"/>
  <c r="M341" i="3"/>
  <c r="L341" i="3"/>
  <c r="J343" i="3"/>
  <c r="K343" i="3"/>
  <c r="I343" i="3"/>
  <c r="B343" i="3"/>
  <c r="E343" i="3"/>
  <c r="S342" i="3"/>
  <c r="U342" i="3" s="1"/>
  <c r="F343" i="3"/>
  <c r="P265" i="3"/>
  <c r="O265" i="3"/>
  <c r="T267" i="3"/>
  <c r="V266" i="3"/>
  <c r="C344" i="3" l="1"/>
  <c r="G344" i="3"/>
  <c r="Q343" i="3"/>
  <c r="M342" i="3"/>
  <c r="L342" i="3"/>
  <c r="J344" i="3"/>
  <c r="F344" i="3"/>
  <c r="K344" i="3"/>
  <c r="E344" i="3"/>
  <c r="B344" i="3"/>
  <c r="I344" i="3"/>
  <c r="S343" i="3"/>
  <c r="U343" i="3" s="1"/>
  <c r="P266" i="3"/>
  <c r="O266" i="3"/>
  <c r="T268" i="3"/>
  <c r="V267" i="3"/>
  <c r="C345" i="3" l="1"/>
  <c r="G345" i="3"/>
  <c r="Q344" i="3"/>
  <c r="M343" i="3"/>
  <c r="L343" i="3"/>
  <c r="J345" i="3"/>
  <c r="F345" i="3"/>
  <c r="K345" i="3"/>
  <c r="E345" i="3"/>
  <c r="B345" i="3"/>
  <c r="I345" i="3"/>
  <c r="S344" i="3"/>
  <c r="U344" i="3" s="1"/>
  <c r="P267" i="3"/>
  <c r="O267" i="3"/>
  <c r="T269" i="3"/>
  <c r="V268" i="3"/>
  <c r="C346" i="3" l="1"/>
  <c r="G346" i="3"/>
  <c r="Q345" i="3"/>
  <c r="M344" i="3"/>
  <c r="L344" i="3"/>
  <c r="J346" i="3"/>
  <c r="K346" i="3"/>
  <c r="E346" i="3"/>
  <c r="B346" i="3"/>
  <c r="I346" i="3"/>
  <c r="S345" i="3"/>
  <c r="U345" i="3" s="1"/>
  <c r="F346" i="3"/>
  <c r="O268" i="3"/>
  <c r="P268" i="3"/>
  <c r="T270" i="3"/>
  <c r="V269" i="3"/>
  <c r="C347" i="3" l="1"/>
  <c r="G347" i="3"/>
  <c r="Q346" i="3"/>
  <c r="M345" i="3"/>
  <c r="L345" i="3"/>
  <c r="J347" i="3"/>
  <c r="K347" i="3"/>
  <c r="B347" i="3"/>
  <c r="I347" i="3"/>
  <c r="E347" i="3"/>
  <c r="S346" i="3"/>
  <c r="U346" i="3" s="1"/>
  <c r="F347" i="3"/>
  <c r="O269" i="3"/>
  <c r="P269" i="3"/>
  <c r="T271" i="3"/>
  <c r="V270" i="3"/>
  <c r="C348" i="3" l="1"/>
  <c r="G348" i="3"/>
  <c r="Q347" i="3"/>
  <c r="M346" i="3"/>
  <c r="L346" i="3"/>
  <c r="J348" i="3"/>
  <c r="F348" i="3"/>
  <c r="K348" i="3"/>
  <c r="E348" i="3"/>
  <c r="B348" i="3"/>
  <c r="I348" i="3"/>
  <c r="S347" i="3"/>
  <c r="U347" i="3" s="1"/>
  <c r="P270" i="3"/>
  <c r="O270" i="3"/>
  <c r="T272" i="3"/>
  <c r="V271" i="3"/>
  <c r="C349" i="3" l="1"/>
  <c r="G349" i="3"/>
  <c r="Q348" i="3"/>
  <c r="M347" i="3"/>
  <c r="L347" i="3"/>
  <c r="J349" i="3"/>
  <c r="E349" i="3"/>
  <c r="K349" i="3"/>
  <c r="F349" i="3"/>
  <c r="B349" i="3"/>
  <c r="I349" i="3"/>
  <c r="S348" i="3"/>
  <c r="U348" i="3" s="1"/>
  <c r="P271" i="3"/>
  <c r="O271" i="3"/>
  <c r="T273" i="3"/>
  <c r="V272" i="3"/>
  <c r="C350" i="3" l="1"/>
  <c r="G350" i="3"/>
  <c r="Q349" i="3"/>
  <c r="M348" i="3"/>
  <c r="L348" i="3"/>
  <c r="J350" i="3"/>
  <c r="S349" i="3"/>
  <c r="U349" i="3" s="1"/>
  <c r="I350" i="3"/>
  <c r="E350" i="3"/>
  <c r="B350" i="3"/>
  <c r="F350" i="3"/>
  <c r="K350" i="3"/>
  <c r="P272" i="3"/>
  <c r="O272" i="3"/>
  <c r="T274" i="3"/>
  <c r="V273" i="3"/>
  <c r="C351" i="3" l="1"/>
  <c r="G351" i="3"/>
  <c r="Q350" i="3"/>
  <c r="M349" i="3"/>
  <c r="L349" i="3"/>
  <c r="J351" i="3"/>
  <c r="K351" i="3"/>
  <c r="B351" i="3"/>
  <c r="I351" i="3"/>
  <c r="E351" i="3"/>
  <c r="S350" i="3"/>
  <c r="U350" i="3" s="1"/>
  <c r="F351" i="3"/>
  <c r="O273" i="3"/>
  <c r="P273" i="3"/>
  <c r="T275" i="3"/>
  <c r="V274" i="3"/>
  <c r="G352" i="3" l="1"/>
  <c r="C352" i="3"/>
  <c r="Q351" i="3"/>
  <c r="M350" i="3"/>
  <c r="L350" i="3"/>
  <c r="J352" i="3"/>
  <c r="K352" i="3"/>
  <c r="F352" i="3"/>
  <c r="I352" i="3"/>
  <c r="E352" i="3"/>
  <c r="B352" i="3"/>
  <c r="S351" i="3"/>
  <c r="U351" i="3" s="1"/>
  <c r="P274" i="3"/>
  <c r="O274" i="3"/>
  <c r="T276" i="3"/>
  <c r="V275" i="3"/>
  <c r="C353" i="3" l="1"/>
  <c r="G353" i="3"/>
  <c r="Q352" i="3"/>
  <c r="M351" i="3"/>
  <c r="L351" i="3"/>
  <c r="J353" i="3"/>
  <c r="E353" i="3"/>
  <c r="K353" i="3"/>
  <c r="B353" i="3"/>
  <c r="I353" i="3"/>
  <c r="F353" i="3"/>
  <c r="S352" i="3"/>
  <c r="U352" i="3" s="1"/>
  <c r="P275" i="3"/>
  <c r="O275" i="3"/>
  <c r="T277" i="3"/>
  <c r="V276" i="3"/>
  <c r="C354" i="3" l="1"/>
  <c r="G354" i="3"/>
  <c r="Q353" i="3"/>
  <c r="M352" i="3"/>
  <c r="L352" i="3"/>
  <c r="J354" i="3"/>
  <c r="K354" i="3"/>
  <c r="E354" i="3"/>
  <c r="B354" i="3"/>
  <c r="I354" i="3"/>
  <c r="S353" i="3"/>
  <c r="U353" i="3" s="1"/>
  <c r="F354" i="3"/>
  <c r="P276" i="3"/>
  <c r="O276" i="3"/>
  <c r="T278" i="3"/>
  <c r="V277" i="3"/>
  <c r="C355" i="3" l="1"/>
  <c r="G355" i="3"/>
  <c r="Q354" i="3"/>
  <c r="M353" i="3"/>
  <c r="L353" i="3"/>
  <c r="J355" i="3"/>
  <c r="K355" i="3"/>
  <c r="B355" i="3"/>
  <c r="F355" i="3"/>
  <c r="E355" i="3"/>
  <c r="S354" i="3"/>
  <c r="U354" i="3" s="1"/>
  <c r="I355" i="3"/>
  <c r="P277" i="3"/>
  <c r="O277" i="3"/>
  <c r="T279" i="3"/>
  <c r="V278" i="3"/>
  <c r="C356" i="3" l="1"/>
  <c r="G356" i="3"/>
  <c r="Q355" i="3"/>
  <c r="M354" i="3"/>
  <c r="L354" i="3"/>
  <c r="J356" i="3"/>
  <c r="F356" i="3"/>
  <c r="K356" i="3"/>
  <c r="E356" i="3"/>
  <c r="B356" i="3"/>
  <c r="I356" i="3"/>
  <c r="S355" i="3"/>
  <c r="U355" i="3" s="1"/>
  <c r="P278" i="3"/>
  <c r="O278" i="3"/>
  <c r="T280" i="3"/>
  <c r="V279" i="3"/>
  <c r="C357" i="3" l="1"/>
  <c r="G357" i="3"/>
  <c r="Q356" i="3"/>
  <c r="M355" i="3"/>
  <c r="L355" i="3"/>
  <c r="J357" i="3"/>
  <c r="F357" i="3"/>
  <c r="K357" i="3"/>
  <c r="E357" i="3"/>
  <c r="B357" i="3"/>
  <c r="I357" i="3"/>
  <c r="S356" i="3"/>
  <c r="U356" i="3" s="1"/>
  <c r="P279" i="3"/>
  <c r="O279" i="3"/>
  <c r="T281" i="3"/>
  <c r="V280" i="3"/>
  <c r="C358" i="3" l="1"/>
  <c r="G358" i="3"/>
  <c r="Q357" i="3"/>
  <c r="M356" i="3"/>
  <c r="L356" i="3"/>
  <c r="J358" i="3"/>
  <c r="K358" i="3"/>
  <c r="E358" i="3"/>
  <c r="B358" i="3"/>
  <c r="I358" i="3"/>
  <c r="S357" i="3"/>
  <c r="U357" i="3" s="1"/>
  <c r="F358" i="3"/>
  <c r="O280" i="3"/>
  <c r="P280" i="3"/>
  <c r="T282" i="3"/>
  <c r="V281" i="3"/>
  <c r="C359" i="3" l="1"/>
  <c r="G359" i="3"/>
  <c r="Q358" i="3"/>
  <c r="M357" i="3"/>
  <c r="L357" i="3"/>
  <c r="J359" i="3"/>
  <c r="K359" i="3"/>
  <c r="B359" i="3"/>
  <c r="F359" i="3"/>
  <c r="E359" i="3"/>
  <c r="S358" i="3"/>
  <c r="U358" i="3" s="1"/>
  <c r="I359" i="3"/>
  <c r="P281" i="3"/>
  <c r="O281" i="3"/>
  <c r="T283" i="3"/>
  <c r="V282" i="3"/>
  <c r="C360" i="3" l="1"/>
  <c r="G360" i="3"/>
  <c r="Q359" i="3"/>
  <c r="M358" i="3"/>
  <c r="L358" i="3"/>
  <c r="J360" i="3"/>
  <c r="F360" i="3"/>
  <c r="K360" i="3"/>
  <c r="E360" i="3"/>
  <c r="B360" i="3"/>
  <c r="I360" i="3"/>
  <c r="S359" i="3"/>
  <c r="U359" i="3" s="1"/>
  <c r="P282" i="3"/>
  <c r="O282" i="3"/>
  <c r="T284" i="3"/>
  <c r="V283" i="3"/>
  <c r="C361" i="3" l="1"/>
  <c r="G361" i="3"/>
  <c r="Q360" i="3"/>
  <c r="M359" i="3"/>
  <c r="L359" i="3"/>
  <c r="J361" i="3"/>
  <c r="F361" i="3"/>
  <c r="K361" i="3"/>
  <c r="E361" i="3"/>
  <c r="B361" i="3"/>
  <c r="I361" i="3"/>
  <c r="S360" i="3"/>
  <c r="U360" i="3" s="1"/>
  <c r="P283" i="3"/>
  <c r="O283" i="3"/>
  <c r="T285" i="3"/>
  <c r="V284" i="3"/>
  <c r="C362" i="3" l="1"/>
  <c r="G362" i="3"/>
  <c r="Q361" i="3"/>
  <c r="M360" i="3"/>
  <c r="L360" i="3"/>
  <c r="J362" i="3"/>
  <c r="K362" i="3"/>
  <c r="E362" i="3"/>
  <c r="B362" i="3"/>
  <c r="I362" i="3"/>
  <c r="S361" i="3"/>
  <c r="U361" i="3" s="1"/>
  <c r="F362" i="3"/>
  <c r="P284" i="3"/>
  <c r="O284" i="3"/>
  <c r="T286" i="3"/>
  <c r="V285" i="3"/>
  <c r="C363" i="3" l="1"/>
  <c r="G363" i="3"/>
  <c r="Q362" i="3"/>
  <c r="M361" i="3"/>
  <c r="L361" i="3"/>
  <c r="J363" i="3"/>
  <c r="K363" i="3"/>
  <c r="B363" i="3"/>
  <c r="I363" i="3"/>
  <c r="E363" i="3"/>
  <c r="S362" i="3"/>
  <c r="U362" i="3" s="1"/>
  <c r="F363" i="3"/>
  <c r="O285" i="3"/>
  <c r="P285" i="3"/>
  <c r="T287" i="3"/>
  <c r="V286" i="3"/>
  <c r="C364" i="3" l="1"/>
  <c r="G364" i="3"/>
  <c r="Q363" i="3"/>
  <c r="M362" i="3"/>
  <c r="L362" i="3"/>
  <c r="J364" i="3"/>
  <c r="F364" i="3"/>
  <c r="K364" i="3"/>
  <c r="E364" i="3"/>
  <c r="B364" i="3"/>
  <c r="I364" i="3"/>
  <c r="S363" i="3"/>
  <c r="U363" i="3" s="1"/>
  <c r="P286" i="3"/>
  <c r="O286" i="3"/>
  <c r="T288" i="3"/>
  <c r="V287" i="3"/>
  <c r="C365" i="3" l="1"/>
  <c r="G365" i="3"/>
  <c r="Q364" i="3"/>
  <c r="M363" i="3"/>
  <c r="L363" i="3"/>
  <c r="J365" i="3"/>
  <c r="E365" i="3"/>
  <c r="K365" i="3"/>
  <c r="F365" i="3"/>
  <c r="B365" i="3"/>
  <c r="I365" i="3"/>
  <c r="S364" i="3"/>
  <c r="U364" i="3" s="1"/>
  <c r="P287" i="3"/>
  <c r="O287" i="3"/>
  <c r="T289" i="3"/>
  <c r="V288" i="3"/>
  <c r="C366" i="3" l="1"/>
  <c r="G366" i="3"/>
  <c r="Q365" i="3"/>
  <c r="M364" i="3"/>
  <c r="L364" i="3"/>
  <c r="J366" i="3"/>
  <c r="S365" i="3"/>
  <c r="U365" i="3" s="1"/>
  <c r="K366" i="3"/>
  <c r="I366" i="3"/>
  <c r="E366" i="3"/>
  <c r="B366" i="3"/>
  <c r="F366" i="3"/>
  <c r="P288" i="3"/>
  <c r="O288" i="3"/>
  <c r="T290" i="3"/>
  <c r="V289" i="3"/>
  <c r="C367" i="3" l="1"/>
  <c r="G367" i="3"/>
  <c r="Q366" i="3"/>
  <c r="M365" i="3"/>
  <c r="L365" i="3"/>
  <c r="J367" i="3"/>
  <c r="K367" i="3"/>
  <c r="B367" i="3"/>
  <c r="I367" i="3"/>
  <c r="E367" i="3"/>
  <c r="S366" i="3"/>
  <c r="U366" i="3" s="1"/>
  <c r="F367" i="3"/>
  <c r="P289" i="3"/>
  <c r="O289" i="3"/>
  <c r="T291" i="3"/>
  <c r="V290" i="3"/>
  <c r="G368" i="3" l="1"/>
  <c r="C368" i="3"/>
  <c r="Q367" i="3"/>
  <c r="M366" i="3"/>
  <c r="L366" i="3"/>
  <c r="J368" i="3"/>
  <c r="K368" i="3"/>
  <c r="F368" i="3"/>
  <c r="I368" i="3"/>
  <c r="E368" i="3"/>
  <c r="B368" i="3"/>
  <c r="S367" i="3"/>
  <c r="U367" i="3" s="1"/>
  <c r="P290" i="3"/>
  <c r="O290" i="3"/>
  <c r="T292" i="3"/>
  <c r="V291" i="3"/>
  <c r="C369" i="3" l="1"/>
  <c r="G369" i="3"/>
  <c r="Q368" i="3"/>
  <c r="M367" i="3"/>
  <c r="L367" i="3"/>
  <c r="J369" i="3"/>
  <c r="E369" i="3"/>
  <c r="K369" i="3"/>
  <c r="F369" i="3"/>
  <c r="B369" i="3"/>
  <c r="Q369" i="3" s="1"/>
  <c r="I369" i="3"/>
  <c r="S368" i="3"/>
  <c r="U368" i="3" s="1"/>
  <c r="P291" i="3"/>
  <c r="O291" i="3"/>
  <c r="T293" i="3"/>
  <c r="V292" i="3"/>
  <c r="M368" i="3" l="1"/>
  <c r="L368" i="3"/>
  <c r="S369" i="3"/>
  <c r="U369" i="3" s="1"/>
  <c r="P292" i="3"/>
  <c r="O292" i="3"/>
  <c r="T294" i="3"/>
  <c r="V293" i="3"/>
  <c r="M369" i="3" l="1"/>
  <c r="L369" i="3"/>
  <c r="O293" i="3"/>
  <c r="P293" i="3"/>
  <c r="T295" i="3"/>
  <c r="V294" i="3"/>
  <c r="P294" i="3" l="1"/>
  <c r="O294" i="3"/>
  <c r="T296" i="3"/>
  <c r="V295" i="3"/>
  <c r="P295" i="3" l="1"/>
  <c r="O295" i="3"/>
  <c r="T297" i="3"/>
  <c r="V296" i="3"/>
  <c r="O296" i="3" l="1"/>
  <c r="P296" i="3"/>
  <c r="T298" i="3"/>
  <c r="V297" i="3"/>
  <c r="P297" i="3" l="1"/>
  <c r="O297" i="3"/>
  <c r="T299" i="3"/>
  <c r="V298" i="3"/>
  <c r="P298" i="3" l="1"/>
  <c r="O298" i="3"/>
  <c r="T300" i="3"/>
  <c r="V299" i="3"/>
  <c r="P299" i="3" l="1"/>
  <c r="O299" i="3"/>
  <c r="T301" i="3"/>
  <c r="V300" i="3"/>
  <c r="P300" i="3" l="1"/>
  <c r="O300" i="3"/>
  <c r="T302" i="3"/>
  <c r="V301" i="3"/>
  <c r="O301" i="3" l="1"/>
  <c r="P301" i="3"/>
  <c r="T303" i="3"/>
  <c r="V302" i="3"/>
  <c r="P302" i="3" l="1"/>
  <c r="O302" i="3"/>
  <c r="T304" i="3"/>
  <c r="V303" i="3"/>
  <c r="P303" i="3" l="1"/>
  <c r="O303" i="3"/>
  <c r="T305" i="3"/>
  <c r="V304" i="3"/>
  <c r="P304" i="3" l="1"/>
  <c r="O304" i="3"/>
  <c r="T306" i="3"/>
  <c r="V305" i="3"/>
  <c r="O305" i="3" l="1"/>
  <c r="P305" i="3"/>
  <c r="T307" i="3"/>
  <c r="V306" i="3"/>
  <c r="P306" i="3" l="1"/>
  <c r="O306" i="3"/>
  <c r="T308" i="3"/>
  <c r="V307" i="3"/>
  <c r="P307" i="3" l="1"/>
  <c r="O307" i="3"/>
  <c r="T309" i="3"/>
  <c r="V308" i="3"/>
  <c r="P308" i="3" l="1"/>
  <c r="O308" i="3"/>
  <c r="T310" i="3"/>
  <c r="V309" i="3"/>
  <c r="P309" i="3" l="1"/>
  <c r="O309" i="3"/>
  <c r="T311" i="3"/>
  <c r="V310" i="3"/>
  <c r="P310" i="3" l="1"/>
  <c r="O310" i="3"/>
  <c r="T312" i="3"/>
  <c r="V311" i="3"/>
  <c r="P311" i="3" l="1"/>
  <c r="O311" i="3"/>
  <c r="T313" i="3"/>
  <c r="V312" i="3"/>
  <c r="O312" i="3" l="1"/>
  <c r="P312" i="3"/>
  <c r="T314" i="3"/>
  <c r="V313" i="3"/>
  <c r="P313" i="3" l="1"/>
  <c r="O313" i="3"/>
  <c r="T315" i="3"/>
  <c r="V314" i="3"/>
  <c r="P314" i="3" l="1"/>
  <c r="O314" i="3"/>
  <c r="T316" i="3"/>
  <c r="V315" i="3"/>
  <c r="P315" i="3" l="1"/>
  <c r="O315" i="3"/>
  <c r="T317" i="3"/>
  <c r="V316" i="3"/>
  <c r="P316" i="3" l="1"/>
  <c r="O316" i="3"/>
  <c r="T318" i="3"/>
  <c r="V317" i="3"/>
  <c r="P317" i="3" l="1"/>
  <c r="O317" i="3"/>
  <c r="T319" i="3"/>
  <c r="V318" i="3"/>
  <c r="P318" i="3" l="1"/>
  <c r="O318" i="3"/>
  <c r="T320" i="3"/>
  <c r="V319" i="3"/>
  <c r="P319" i="3" l="1"/>
  <c r="O319" i="3"/>
  <c r="T321" i="3"/>
  <c r="V320" i="3"/>
  <c r="P320" i="3" l="1"/>
  <c r="O320" i="3"/>
  <c r="T322" i="3"/>
  <c r="V321" i="3"/>
  <c r="P321" i="3" l="1"/>
  <c r="O321" i="3"/>
  <c r="T323" i="3"/>
  <c r="V322" i="3"/>
  <c r="P322" i="3" l="1"/>
  <c r="O322" i="3"/>
  <c r="T324" i="3"/>
  <c r="V323" i="3"/>
  <c r="P323" i="3" l="1"/>
  <c r="O323" i="3"/>
  <c r="T325" i="3"/>
  <c r="V324" i="3"/>
  <c r="P324" i="3" l="1"/>
  <c r="O324" i="3"/>
  <c r="T326" i="3"/>
  <c r="V325" i="3"/>
  <c r="P325" i="3" l="1"/>
  <c r="O325" i="3"/>
  <c r="T327" i="3"/>
  <c r="V326" i="3"/>
  <c r="P326" i="3" l="1"/>
  <c r="O326" i="3"/>
  <c r="T328" i="3"/>
  <c r="V327" i="3"/>
  <c r="P327" i="3" l="1"/>
  <c r="O327" i="3"/>
  <c r="T329" i="3"/>
  <c r="V328" i="3"/>
  <c r="O328" i="3" l="1"/>
  <c r="P328" i="3"/>
  <c r="T330" i="3"/>
  <c r="V329" i="3"/>
  <c r="P329" i="3" l="1"/>
  <c r="O329" i="3"/>
  <c r="T331" i="3"/>
  <c r="V330" i="3"/>
  <c r="P330" i="3" l="1"/>
  <c r="O330" i="3"/>
  <c r="T332" i="3"/>
  <c r="V331" i="3"/>
  <c r="P331" i="3" l="1"/>
  <c r="O331" i="3"/>
  <c r="T333" i="3"/>
  <c r="V332" i="3"/>
  <c r="O332" i="3" l="1"/>
  <c r="P332" i="3"/>
  <c r="T334" i="3"/>
  <c r="V333" i="3"/>
  <c r="P333" i="3" l="1"/>
  <c r="O333" i="3"/>
  <c r="T335" i="3"/>
  <c r="V334" i="3"/>
  <c r="P334" i="3" l="1"/>
  <c r="O334" i="3"/>
  <c r="T336" i="3"/>
  <c r="V335" i="3"/>
  <c r="P335" i="3" l="1"/>
  <c r="O335" i="3"/>
  <c r="T337" i="3"/>
  <c r="V336" i="3"/>
  <c r="P336" i="3" l="1"/>
  <c r="O336" i="3"/>
  <c r="T338" i="3"/>
  <c r="V337" i="3"/>
  <c r="P337" i="3" l="1"/>
  <c r="O337" i="3"/>
  <c r="T339" i="3"/>
  <c r="V338" i="3"/>
  <c r="P338" i="3" l="1"/>
  <c r="O338" i="3"/>
  <c r="T340" i="3"/>
  <c r="V339" i="3"/>
  <c r="P339" i="3" l="1"/>
  <c r="O339" i="3"/>
  <c r="T341" i="3"/>
  <c r="V340" i="3"/>
  <c r="P340" i="3" l="1"/>
  <c r="O340" i="3"/>
  <c r="T342" i="3"/>
  <c r="V341" i="3"/>
  <c r="P341" i="3" l="1"/>
  <c r="O341" i="3"/>
  <c r="T343" i="3"/>
  <c r="V342" i="3"/>
  <c r="P342" i="3" l="1"/>
  <c r="O342" i="3"/>
  <c r="T344" i="3"/>
  <c r="V343" i="3"/>
  <c r="P343" i="3" l="1"/>
  <c r="O343" i="3"/>
  <c r="T345" i="3"/>
  <c r="V344" i="3"/>
  <c r="O344" i="3" l="1"/>
  <c r="P344" i="3"/>
  <c r="T346" i="3"/>
  <c r="V345" i="3"/>
  <c r="P345" i="3" l="1"/>
  <c r="O345" i="3"/>
  <c r="T347" i="3"/>
  <c r="V346" i="3"/>
  <c r="P346" i="3" l="1"/>
  <c r="O346" i="3"/>
  <c r="T348" i="3"/>
  <c r="V347" i="3"/>
  <c r="P347" i="3" l="1"/>
  <c r="O347" i="3"/>
  <c r="T349" i="3"/>
  <c r="V348" i="3"/>
  <c r="O348" i="3" l="1"/>
  <c r="P348" i="3"/>
  <c r="T350" i="3"/>
  <c r="V349" i="3"/>
  <c r="P349" i="3" l="1"/>
  <c r="O349" i="3"/>
  <c r="T351" i="3"/>
  <c r="V350" i="3"/>
  <c r="P350" i="3" l="1"/>
  <c r="O350" i="3"/>
  <c r="T352" i="3"/>
  <c r="V351" i="3"/>
  <c r="P351" i="3" l="1"/>
  <c r="O351" i="3"/>
  <c r="T353" i="3"/>
  <c r="V352" i="3"/>
  <c r="P352" i="3" l="1"/>
  <c r="O352" i="3"/>
  <c r="T354" i="3"/>
  <c r="V353" i="3"/>
  <c r="P353" i="3" l="1"/>
  <c r="O353" i="3"/>
  <c r="T355" i="3"/>
  <c r="V354" i="3"/>
  <c r="P354" i="3" l="1"/>
  <c r="O354" i="3"/>
  <c r="T356" i="3"/>
  <c r="V355" i="3"/>
  <c r="P355" i="3" l="1"/>
  <c r="O355" i="3"/>
  <c r="T357" i="3"/>
  <c r="V356" i="3"/>
  <c r="P356" i="3" l="1"/>
  <c r="O356" i="3"/>
  <c r="T358" i="3"/>
  <c r="V357" i="3"/>
  <c r="P357" i="3" l="1"/>
  <c r="O357" i="3"/>
  <c r="T359" i="3"/>
  <c r="V358" i="3"/>
  <c r="P358" i="3" l="1"/>
  <c r="O358" i="3"/>
  <c r="T360" i="3"/>
  <c r="V359" i="3"/>
  <c r="P359" i="3" l="1"/>
  <c r="O359" i="3"/>
  <c r="T361" i="3"/>
  <c r="V360" i="3"/>
  <c r="O360" i="3" l="1"/>
  <c r="P360" i="3"/>
  <c r="T362" i="3"/>
  <c r="V361" i="3"/>
  <c r="P361" i="3" l="1"/>
  <c r="O361" i="3"/>
  <c r="T363" i="3"/>
  <c r="V362" i="3"/>
  <c r="P362" i="3" l="1"/>
  <c r="O362" i="3"/>
  <c r="T364" i="3"/>
  <c r="V363" i="3"/>
  <c r="P363" i="3" l="1"/>
  <c r="O363" i="3"/>
  <c r="T365" i="3"/>
  <c r="V364" i="3"/>
  <c r="O364" i="3" l="1"/>
  <c r="P364" i="3"/>
  <c r="T366" i="3"/>
  <c r="V365" i="3"/>
  <c r="P365" i="3" l="1"/>
  <c r="O365" i="3"/>
  <c r="T367" i="3"/>
  <c r="V366" i="3"/>
  <c r="P366" i="3" l="1"/>
  <c r="O366" i="3"/>
  <c r="T368" i="3"/>
  <c r="V367" i="3"/>
  <c r="P367" i="3" l="1"/>
  <c r="O367" i="3"/>
  <c r="T369" i="3"/>
  <c r="V368" i="3"/>
  <c r="P368" i="3" l="1"/>
  <c r="O368" i="3"/>
  <c r="V369" i="3"/>
  <c r="P369" i="3" l="1"/>
  <c r="O369" i="3"/>
  <c r="F10" i="3"/>
  <c r="G10" i="3" s="1"/>
  <c r="K10" i="3" s="1"/>
  <c r="J10" i="3" s="1"/>
  <c r="I11" i="3" l="1"/>
  <c r="T10" i="3"/>
  <c r="E11" i="3"/>
  <c r="F11" i="3" s="1"/>
  <c r="G11" i="3" s="1"/>
  <c r="Q10" i="3" l="1"/>
  <c r="S11" i="3"/>
  <c r="E12" i="3"/>
  <c r="F12" i="3" s="1"/>
  <c r="G12" i="3" s="1"/>
  <c r="K11" i="3"/>
  <c r="J11" i="3" s="1"/>
  <c r="I12" i="3" s="1"/>
  <c r="L10" i="3"/>
  <c r="M10" i="3"/>
  <c r="V10" i="3"/>
  <c r="U10" i="3" s="1"/>
  <c r="T11" i="3" l="1"/>
  <c r="S12" i="3" s="1"/>
  <c r="V11" i="3"/>
  <c r="L11" i="3"/>
  <c r="M11" i="3"/>
  <c r="E13" i="3"/>
  <c r="F13" i="3" s="1"/>
  <c r="G13" i="3" s="1"/>
  <c r="K12" i="3"/>
  <c r="J12" i="3" s="1"/>
  <c r="T12" i="3" l="1"/>
  <c r="S13" i="3" s="1"/>
  <c r="Q11" i="3"/>
  <c r="U11" i="3"/>
  <c r="I13" i="3"/>
  <c r="K13" i="3" s="1"/>
  <c r="V12" i="3"/>
  <c r="M12" i="3"/>
  <c r="L12" i="3"/>
  <c r="E14" i="3"/>
  <c r="F14" i="3" s="1"/>
  <c r="G14" i="3" s="1"/>
  <c r="U12" i="3" l="1"/>
  <c r="Q12" i="3"/>
  <c r="E15" i="3"/>
  <c r="F15" i="3" s="1"/>
  <c r="G15" i="3" s="1"/>
  <c r="J13" i="3"/>
  <c r="L13" i="3" s="1"/>
  <c r="V13" i="3"/>
  <c r="E16" i="3" l="1"/>
  <c r="F16" i="3" s="1"/>
  <c r="G16" i="3" s="1"/>
  <c r="M13" i="3"/>
  <c r="I14" i="3"/>
  <c r="T13" i="3"/>
  <c r="Q13" i="3" l="1"/>
  <c r="S14" i="3"/>
  <c r="U13" i="3"/>
  <c r="E17" i="3"/>
  <c r="F17" i="3" s="1"/>
  <c r="G17" i="3" s="1"/>
  <c r="K14" i="3"/>
  <c r="E18" i="3" l="1"/>
  <c r="F18" i="3" s="1"/>
  <c r="G18" i="3" s="1"/>
  <c r="J14" i="3"/>
  <c r="I15" i="3" s="1"/>
  <c r="V14" i="3"/>
  <c r="M14" i="3" l="1"/>
  <c r="L14" i="3"/>
  <c r="K15" i="3"/>
  <c r="T14" i="3"/>
  <c r="E19" i="3"/>
  <c r="F19" i="3" s="1"/>
  <c r="G19" i="3" s="1"/>
  <c r="J15" i="3" l="1"/>
  <c r="V15" i="3"/>
  <c r="E20" i="3"/>
  <c r="F20" i="3" s="1"/>
  <c r="G20" i="3" s="1"/>
  <c r="Q14" i="3"/>
  <c r="S15" i="3"/>
  <c r="U14" i="3"/>
  <c r="M15" i="3" l="1"/>
  <c r="T15" i="3"/>
  <c r="U15" i="3" s="1"/>
  <c r="L15" i="3"/>
  <c r="E21" i="3"/>
  <c r="F21" i="3" s="1"/>
  <c r="G21" i="3" s="1"/>
  <c r="I16" i="3"/>
  <c r="E22" i="3" l="1"/>
  <c r="F22" i="3" s="1"/>
  <c r="G22" i="3" s="1"/>
  <c r="K16" i="3"/>
  <c r="S16" i="3"/>
  <c r="Q15" i="3"/>
  <c r="J16" i="3" l="1"/>
  <c r="I17" i="3" s="1"/>
  <c r="V16" i="3"/>
  <c r="E23" i="3"/>
  <c r="F23" i="3" s="1"/>
  <c r="G23" i="3" s="1"/>
  <c r="K17" i="3" l="1"/>
  <c r="L16" i="3"/>
  <c r="M16" i="3"/>
  <c r="T16" i="3"/>
  <c r="E24" i="3"/>
  <c r="F24" i="3" s="1"/>
  <c r="G24" i="3" s="1"/>
  <c r="Q16" i="3" l="1"/>
  <c r="U16" i="3"/>
  <c r="S17" i="3"/>
  <c r="E25" i="3"/>
  <c r="F25" i="3" s="1"/>
  <c r="G25" i="3" s="1"/>
  <c r="J17" i="3"/>
  <c r="I18" i="3" s="1"/>
  <c r="V17" i="3"/>
  <c r="K18" i="3" l="1"/>
  <c r="L17" i="3"/>
  <c r="T17" i="3"/>
  <c r="Q17" i="3" s="1"/>
  <c r="M17" i="3"/>
  <c r="E26" i="3"/>
  <c r="F26" i="3" s="1"/>
  <c r="G26" i="3" s="1"/>
  <c r="U17" i="3" l="1"/>
  <c r="S18" i="3"/>
  <c r="E27" i="3"/>
  <c r="F27" i="3" s="1"/>
  <c r="G27" i="3" s="1"/>
  <c r="J18" i="3"/>
  <c r="I19" i="3" s="1"/>
  <c r="V18" i="3"/>
  <c r="L18" i="3" l="1"/>
  <c r="K19" i="3"/>
  <c r="T18" i="3"/>
  <c r="M18" i="3"/>
  <c r="E28" i="3"/>
  <c r="F28" i="3" s="1"/>
  <c r="G28" i="3" s="1"/>
  <c r="Q18" i="3" l="1"/>
  <c r="U18" i="3"/>
  <c r="S19" i="3"/>
  <c r="E29" i="3"/>
  <c r="F29" i="3" s="1"/>
  <c r="G29" i="3" s="1"/>
  <c r="J19" i="3"/>
  <c r="I20" i="3" s="1"/>
  <c r="V19" i="3"/>
  <c r="M19" i="3" l="1"/>
  <c r="T19" i="3"/>
  <c r="Q19" i="3" s="1"/>
  <c r="L19" i="3"/>
  <c r="K20" i="3"/>
  <c r="E30" i="3"/>
  <c r="F30" i="3" s="1"/>
  <c r="G30" i="3" s="1"/>
  <c r="U19" i="3" l="1"/>
  <c r="S20" i="3"/>
  <c r="J20" i="3"/>
  <c r="V20" i="3"/>
  <c r="E31" i="3"/>
  <c r="F31" i="3" s="1"/>
  <c r="G31" i="3" s="1"/>
  <c r="I21" i="3" l="1"/>
  <c r="E32" i="3"/>
  <c r="F32" i="3" s="1"/>
  <c r="G32" i="3" s="1"/>
  <c r="M20" i="3"/>
  <c r="T20" i="3"/>
  <c r="L20" i="3"/>
  <c r="E33" i="3" l="1"/>
  <c r="F33" i="3" s="1"/>
  <c r="G33" i="3" s="1"/>
  <c r="U20" i="3"/>
  <c r="S21" i="3"/>
  <c r="K21" i="3"/>
  <c r="Q20" i="3"/>
  <c r="J21" i="3" l="1"/>
  <c r="I22" i="3" s="1"/>
  <c r="V21" i="3"/>
  <c r="E34" i="3"/>
  <c r="F34" i="3" s="1"/>
  <c r="G34" i="3" s="1"/>
  <c r="L21" i="3" l="1"/>
  <c r="K22" i="3"/>
  <c r="M21" i="3"/>
  <c r="E35" i="3"/>
  <c r="F35" i="3" s="1"/>
  <c r="G35" i="3" s="1"/>
  <c r="T21" i="3"/>
  <c r="Q21" i="3" l="1"/>
  <c r="S22" i="3"/>
  <c r="U21" i="3"/>
  <c r="J22" i="3"/>
  <c r="I23" i="3" s="1"/>
  <c r="V22" i="3"/>
  <c r="E36" i="3"/>
  <c r="F36" i="3" s="1"/>
  <c r="G36" i="3" s="1"/>
  <c r="E37" i="3" l="1"/>
  <c r="F37" i="3" s="1"/>
  <c r="G37" i="3" s="1"/>
  <c r="M22" i="3"/>
  <c r="T22" i="3"/>
  <c r="Q22" i="3" s="1"/>
  <c r="L22" i="3"/>
  <c r="K23" i="3"/>
  <c r="S23" i="3" l="1"/>
  <c r="J23" i="3"/>
  <c r="I24" i="3" s="1"/>
  <c r="V23" i="3"/>
  <c r="U22" i="3"/>
  <c r="E38" i="3"/>
  <c r="F38" i="3" s="1"/>
  <c r="G38" i="3" s="1"/>
  <c r="K24" i="3" l="1"/>
  <c r="L23" i="3"/>
  <c r="M23" i="3"/>
  <c r="E39" i="3"/>
  <c r="F39" i="3" s="1"/>
  <c r="G39" i="3" s="1"/>
  <c r="T23" i="3"/>
  <c r="E40" i="3" l="1"/>
  <c r="F40" i="3" s="1"/>
  <c r="G40" i="3" s="1"/>
  <c r="Q23" i="3"/>
  <c r="U23" i="3"/>
  <c r="S24" i="3"/>
  <c r="J24" i="3"/>
  <c r="I25" i="3" s="1"/>
  <c r="V24" i="3"/>
  <c r="K25" i="3" l="1"/>
  <c r="L24" i="3"/>
  <c r="M24" i="3"/>
  <c r="T24" i="3"/>
  <c r="Q24" i="3" s="1"/>
  <c r="E41" i="3"/>
  <c r="F41" i="3" s="1"/>
  <c r="G41" i="3" s="1"/>
  <c r="E42" i="3" l="1"/>
  <c r="F42" i="3" s="1"/>
  <c r="G42" i="3" s="1"/>
  <c r="S25" i="3"/>
  <c r="U24" i="3"/>
  <c r="J25" i="3"/>
  <c r="I26" i="3" s="1"/>
  <c r="V25" i="3"/>
  <c r="K26" i="3" l="1"/>
  <c r="L25" i="3"/>
  <c r="T25" i="3"/>
  <c r="Q25" i="3" s="1"/>
  <c r="M25" i="3"/>
  <c r="E43" i="3"/>
  <c r="F43" i="3" s="1"/>
  <c r="G43" i="3" s="1"/>
  <c r="U25" i="3" l="1"/>
  <c r="S26" i="3"/>
  <c r="J26" i="3"/>
  <c r="I27" i="3" s="1"/>
  <c r="V26" i="3"/>
  <c r="E44" i="3"/>
  <c r="F44" i="3" s="1"/>
  <c r="G44" i="3" s="1"/>
  <c r="L26" i="3" l="1"/>
  <c r="T26" i="3"/>
  <c r="K27" i="3"/>
  <c r="M26" i="3"/>
  <c r="E45" i="3"/>
  <c r="F45" i="3" s="1"/>
  <c r="G45" i="3" s="1"/>
  <c r="E46" i="3" l="1"/>
  <c r="F46" i="3" s="1"/>
  <c r="G46" i="3" s="1"/>
  <c r="Q26" i="3"/>
  <c r="U26" i="3"/>
  <c r="S27" i="3"/>
  <c r="J27" i="3"/>
  <c r="I28" i="3" s="1"/>
  <c r="V27" i="3"/>
  <c r="K28" i="3" l="1"/>
  <c r="M27" i="3"/>
  <c r="L27" i="3"/>
  <c r="T27" i="3"/>
  <c r="Q27" i="3" s="1"/>
  <c r="E47" i="3"/>
  <c r="F47" i="3" s="1"/>
  <c r="G47" i="3" s="1"/>
  <c r="U27" i="3" l="1"/>
  <c r="E48" i="3"/>
  <c r="F48" i="3" s="1"/>
  <c r="G48" i="3" s="1"/>
  <c r="S28" i="3"/>
  <c r="J28" i="3"/>
  <c r="V28" i="3"/>
  <c r="E49" i="3" l="1"/>
  <c r="F49" i="3" s="1"/>
  <c r="G49" i="3" s="1"/>
  <c r="M28" i="3"/>
  <c r="L28" i="3"/>
  <c r="T28" i="3"/>
  <c r="Q28" i="3" s="1"/>
  <c r="I29" i="3"/>
  <c r="K29" i="3" l="1"/>
  <c r="S29" i="3"/>
  <c r="U28" i="3"/>
  <c r="E50" i="3"/>
  <c r="F50" i="3" s="1"/>
  <c r="G50" i="3" s="1"/>
  <c r="E51" i="3" l="1"/>
  <c r="F51" i="3" s="1"/>
  <c r="G51" i="3" s="1"/>
  <c r="J29" i="3"/>
  <c r="T29" i="3" s="1"/>
  <c r="V29" i="3"/>
  <c r="L29" i="3" l="1"/>
  <c r="U29" i="3"/>
  <c r="S30" i="3"/>
  <c r="E52" i="3"/>
  <c r="F52" i="3" s="1"/>
  <c r="G52" i="3" s="1"/>
  <c r="M29" i="3"/>
  <c r="Q29" i="3"/>
  <c r="I30" i="3"/>
  <c r="K30" i="3" l="1"/>
  <c r="E53" i="3"/>
  <c r="F53" i="3" s="1"/>
  <c r="G53" i="3" s="1"/>
  <c r="E54" i="3" l="1"/>
  <c r="F54" i="3" s="1"/>
  <c r="G54" i="3" s="1"/>
  <c r="J30" i="3"/>
  <c r="V30" i="3"/>
  <c r="I31" i="3" l="1"/>
  <c r="M30" i="3"/>
  <c r="L30" i="3"/>
  <c r="T30" i="3"/>
  <c r="E55" i="3"/>
  <c r="F55" i="3" s="1"/>
  <c r="G55" i="3" s="1"/>
  <c r="K31" i="3" l="1"/>
  <c r="U30" i="3"/>
  <c r="S31" i="3"/>
  <c r="Q30" i="3"/>
  <c r="E56" i="3"/>
  <c r="F56" i="3" s="1"/>
  <c r="G56" i="3" s="1"/>
  <c r="E57" i="3" l="1"/>
  <c r="F57" i="3" s="1"/>
  <c r="G57" i="3" s="1"/>
  <c r="J31" i="3"/>
  <c r="M31" i="3" s="1"/>
  <c r="V31" i="3"/>
  <c r="T31" i="3" l="1"/>
  <c r="U31" i="3" s="1"/>
  <c r="L31" i="3"/>
  <c r="I32" i="3"/>
  <c r="E58" i="3"/>
  <c r="F58" i="3" s="1"/>
  <c r="G58" i="3" s="1"/>
  <c r="S32" i="3" l="1"/>
  <c r="Q31" i="3"/>
  <c r="E59" i="3"/>
  <c r="F59" i="3" s="1"/>
  <c r="G59" i="3" s="1"/>
  <c r="K32" i="3"/>
  <c r="J32" i="3" l="1"/>
  <c r="V32" i="3"/>
  <c r="E60" i="3"/>
  <c r="F60" i="3" s="1"/>
  <c r="G60" i="3" s="1"/>
  <c r="T32" i="3" l="1"/>
  <c r="I33" i="3"/>
  <c r="E61" i="3"/>
  <c r="F61" i="3" s="1"/>
  <c r="G61" i="3" s="1"/>
  <c r="L32" i="3"/>
  <c r="M32" i="3"/>
  <c r="U32" i="3" l="1"/>
  <c r="S33" i="3"/>
  <c r="K33" i="3"/>
  <c r="E62" i="3"/>
  <c r="F62" i="3" s="1"/>
  <c r="G62" i="3" s="1"/>
  <c r="Q32" i="3"/>
  <c r="E63" i="3" l="1"/>
  <c r="F63" i="3" s="1"/>
  <c r="G63" i="3" s="1"/>
  <c r="J33" i="3"/>
  <c r="L33" i="3" s="1"/>
  <c r="V33" i="3"/>
  <c r="E64" i="3" l="1"/>
  <c r="F64" i="3" s="1"/>
  <c r="G64" i="3" s="1"/>
  <c r="T33" i="3"/>
  <c r="Q33" i="3" s="1"/>
  <c r="M33" i="3"/>
  <c r="I34" i="3"/>
  <c r="K34" i="3" l="1"/>
  <c r="U33" i="3"/>
  <c r="S34" i="3"/>
  <c r="E65" i="3"/>
  <c r="F65" i="3" s="1"/>
  <c r="G65" i="3" s="1"/>
  <c r="E66" i="3" l="1"/>
  <c r="F66" i="3" s="1"/>
  <c r="G66" i="3" s="1"/>
  <c r="J34" i="3"/>
  <c r="V34" i="3"/>
  <c r="I35" i="3" l="1"/>
  <c r="L34" i="3"/>
  <c r="M34" i="3"/>
  <c r="E67" i="3"/>
  <c r="F67" i="3" s="1"/>
  <c r="G67" i="3" s="1"/>
  <c r="T34" i="3"/>
  <c r="U34" i="3" l="1"/>
  <c r="S35" i="3"/>
  <c r="E68" i="3"/>
  <c r="F68" i="3" s="1"/>
  <c r="G68" i="3" s="1"/>
  <c r="K35" i="3"/>
  <c r="Q34" i="3"/>
  <c r="J35" i="3" l="1"/>
  <c r="M35" i="3" s="1"/>
  <c r="V35" i="3"/>
  <c r="E69" i="3"/>
  <c r="F69" i="3" s="1"/>
  <c r="G69" i="3" l="1"/>
  <c r="E70" i="3"/>
  <c r="F70" i="3" s="1"/>
  <c r="L35" i="3"/>
  <c r="I36" i="3"/>
  <c r="T35" i="3"/>
  <c r="Q35" i="3" s="1"/>
  <c r="G70" i="3" l="1"/>
  <c r="E71" i="3"/>
  <c r="F71" i="3" s="1"/>
  <c r="K36" i="3"/>
  <c r="S36" i="3"/>
  <c r="U35" i="3"/>
  <c r="G71" i="3" l="1"/>
  <c r="E72" i="3"/>
  <c r="F72" i="3" s="1"/>
  <c r="J36" i="3"/>
  <c r="V36" i="3"/>
  <c r="G72" i="3" l="1"/>
  <c r="E73" i="3"/>
  <c r="F73" i="3" s="1"/>
  <c r="I37" i="3"/>
  <c r="L36" i="3"/>
  <c r="M36" i="3"/>
  <c r="T36" i="3"/>
  <c r="G73" i="3" l="1"/>
  <c r="E74" i="3"/>
  <c r="F74" i="3" s="1"/>
  <c r="K37" i="3"/>
  <c r="S37" i="3"/>
  <c r="U36" i="3"/>
  <c r="Q36" i="3"/>
  <c r="G74" i="3" l="1"/>
  <c r="E75" i="3"/>
  <c r="F75" i="3" s="1"/>
  <c r="J37" i="3"/>
  <c r="I38" i="3" s="1"/>
  <c r="V37" i="3"/>
  <c r="G75" i="3" l="1"/>
  <c r="E76" i="3"/>
  <c r="F76" i="3" s="1"/>
  <c r="T37" i="3"/>
  <c r="M37" i="3"/>
  <c r="L37" i="3"/>
  <c r="K38" i="3"/>
  <c r="G76" i="3" l="1"/>
  <c r="E77" i="3"/>
  <c r="F77" i="3" s="1"/>
  <c r="J38" i="3"/>
  <c r="I39" i="3" s="1"/>
  <c r="V38" i="3"/>
  <c r="Q37" i="3"/>
  <c r="U37" i="3"/>
  <c r="S38" i="3"/>
  <c r="G77" i="3" l="1"/>
  <c r="E78" i="3"/>
  <c r="F78" i="3" s="1"/>
  <c r="M38" i="3"/>
  <c r="L38" i="3"/>
  <c r="T38" i="3"/>
  <c r="Q38" i="3" s="1"/>
  <c r="K39" i="3"/>
  <c r="G78" i="3" l="1"/>
  <c r="E79" i="3"/>
  <c r="F79" i="3" s="1"/>
  <c r="S39" i="3"/>
  <c r="J39" i="3"/>
  <c r="I40" i="3" s="1"/>
  <c r="V39" i="3"/>
  <c r="U38" i="3"/>
  <c r="G79" i="3" l="1"/>
  <c r="E80" i="3"/>
  <c r="F80" i="3" s="1"/>
  <c r="K40" i="3"/>
  <c r="L39" i="3"/>
  <c r="T39" i="3"/>
  <c r="Q39" i="3" s="1"/>
  <c r="M39" i="3"/>
  <c r="G80" i="3" l="1"/>
  <c r="E81" i="3"/>
  <c r="F81" i="3" s="1"/>
  <c r="J40" i="3"/>
  <c r="I41" i="3" s="1"/>
  <c r="V40" i="3"/>
  <c r="S40" i="3"/>
  <c r="U39" i="3"/>
  <c r="G81" i="3" l="1"/>
  <c r="E82" i="3"/>
  <c r="F82" i="3" s="1"/>
  <c r="T40" i="3"/>
  <c r="Q40" i="3" s="1"/>
  <c r="M40" i="3"/>
  <c r="L40" i="3"/>
  <c r="K41" i="3"/>
  <c r="G82" i="3" l="1"/>
  <c r="E83" i="3"/>
  <c r="F83" i="3" s="1"/>
  <c r="S41" i="3"/>
  <c r="U40" i="3"/>
  <c r="J41" i="3"/>
  <c r="I42" i="3" s="1"/>
  <c r="V41" i="3"/>
  <c r="G83" i="3" l="1"/>
  <c r="E84" i="3"/>
  <c r="F84" i="3" s="1"/>
  <c r="L41" i="3"/>
  <c r="M41" i="3"/>
  <c r="T41" i="3"/>
  <c r="K42" i="3"/>
  <c r="G84" i="3" l="1"/>
  <c r="E85" i="3"/>
  <c r="F85" i="3" s="1"/>
  <c r="Q41" i="3"/>
  <c r="S42" i="3"/>
  <c r="U41" i="3"/>
  <c r="J42" i="3"/>
  <c r="I43" i="3" s="1"/>
  <c r="V42" i="3"/>
  <c r="G85" i="3" l="1"/>
  <c r="E86" i="3"/>
  <c r="F86" i="3" s="1"/>
  <c r="K43" i="3"/>
  <c r="T42" i="3"/>
  <c r="Q42" i="3" s="1"/>
  <c r="M42" i="3"/>
  <c r="L42" i="3"/>
  <c r="G86" i="3" l="1"/>
  <c r="E87" i="3"/>
  <c r="F87" i="3" s="1"/>
  <c r="U42" i="3"/>
  <c r="S43" i="3"/>
  <c r="J43" i="3"/>
  <c r="V43" i="3"/>
  <c r="G87" i="3" l="1"/>
  <c r="E88" i="3"/>
  <c r="F88" i="3" s="1"/>
  <c r="I44" i="3"/>
  <c r="L43" i="3"/>
  <c r="M43" i="3"/>
  <c r="T43" i="3"/>
  <c r="U43" i="3" s="1"/>
  <c r="G88" i="3" l="1"/>
  <c r="E89" i="3"/>
  <c r="F89" i="3" s="1"/>
  <c r="Q43" i="3"/>
  <c r="S44" i="3"/>
  <c r="K44" i="3"/>
  <c r="G89" i="3" l="1"/>
  <c r="E90" i="3"/>
  <c r="F90" i="3" s="1"/>
  <c r="J44" i="3"/>
  <c r="L44" i="3" s="1"/>
  <c r="V44" i="3"/>
  <c r="G90" i="3" l="1"/>
  <c r="E91" i="3"/>
  <c r="F91" i="3" s="1"/>
  <c r="M44" i="3"/>
  <c r="T44" i="3"/>
  <c r="I45" i="3"/>
  <c r="G91" i="3" l="1"/>
  <c r="E92" i="3"/>
  <c r="F92" i="3" s="1"/>
  <c r="K45" i="3"/>
  <c r="U44" i="3"/>
  <c r="S45" i="3"/>
  <c r="Q44" i="3"/>
  <c r="G92" i="3" l="1"/>
  <c r="E93" i="3"/>
  <c r="F93" i="3" s="1"/>
  <c r="J45" i="3"/>
  <c r="V45" i="3"/>
  <c r="G93" i="3" l="1"/>
  <c r="E94" i="3"/>
  <c r="F94" i="3" s="1"/>
  <c r="I46" i="3"/>
  <c r="T45" i="3"/>
  <c r="L45" i="3"/>
  <c r="M45" i="3"/>
  <c r="G94" i="3" l="1"/>
  <c r="E95" i="3"/>
  <c r="F95" i="3" s="1"/>
  <c r="K46" i="3"/>
  <c r="S46" i="3"/>
  <c r="U45" i="3"/>
  <c r="Q45" i="3"/>
  <c r="G95" i="3" l="1"/>
  <c r="E96" i="3"/>
  <c r="F96" i="3" s="1"/>
  <c r="J46" i="3"/>
  <c r="V46" i="3"/>
  <c r="G96" i="3" l="1"/>
  <c r="E97" i="3"/>
  <c r="F97" i="3" s="1"/>
  <c r="I47" i="3"/>
  <c r="L46" i="3"/>
  <c r="T46" i="3"/>
  <c r="M46" i="3"/>
  <c r="G97" i="3" l="1"/>
  <c r="E98" i="3"/>
  <c r="F98" i="3" s="1"/>
  <c r="S47" i="3"/>
  <c r="U46" i="3"/>
  <c r="K47" i="3"/>
  <c r="Q46" i="3"/>
  <c r="G98" i="3" l="1"/>
  <c r="E99" i="3"/>
  <c r="F99" i="3" s="1"/>
  <c r="J47" i="3"/>
  <c r="L47" i="3" s="1"/>
  <c r="V47" i="3"/>
  <c r="G99" i="3" l="1"/>
  <c r="E100" i="3"/>
  <c r="F100" i="3" s="1"/>
  <c r="M47" i="3"/>
  <c r="T47" i="3"/>
  <c r="I48" i="3"/>
  <c r="G100" i="3" l="1"/>
  <c r="E101" i="3"/>
  <c r="F101" i="3" s="1"/>
  <c r="U47" i="3"/>
  <c r="S48" i="3"/>
  <c r="K48" i="3"/>
  <c r="Q47" i="3"/>
  <c r="G101" i="3" l="1"/>
  <c r="E102" i="3"/>
  <c r="F102" i="3" s="1"/>
  <c r="J48" i="3"/>
  <c r="M48" i="3" s="1"/>
  <c r="V48" i="3"/>
  <c r="G102" i="3" l="1"/>
  <c r="E103" i="3"/>
  <c r="F103" i="3" s="1"/>
  <c r="T48" i="3"/>
  <c r="Q48" i="3" s="1"/>
  <c r="L48" i="3"/>
  <c r="I49" i="3"/>
  <c r="G103" i="3" l="1"/>
  <c r="E104" i="3"/>
  <c r="F104" i="3" s="1"/>
  <c r="K49" i="3"/>
  <c r="U48" i="3"/>
  <c r="S49" i="3"/>
  <c r="G104" i="3" l="1"/>
  <c r="E105" i="3"/>
  <c r="F105" i="3" s="1"/>
  <c r="J49" i="3"/>
  <c r="L49" i="3" s="1"/>
  <c r="V49" i="3"/>
  <c r="G105" i="3" l="1"/>
  <c r="E106" i="3"/>
  <c r="F106" i="3" s="1"/>
  <c r="M49" i="3"/>
  <c r="T49" i="3"/>
  <c r="Q49" i="3" s="1"/>
  <c r="I50" i="3"/>
  <c r="G106" i="3" l="1"/>
  <c r="E107" i="3"/>
  <c r="F107" i="3" s="1"/>
  <c r="K50" i="3"/>
  <c r="S50" i="3"/>
  <c r="U49" i="3"/>
  <c r="G107" i="3" l="1"/>
  <c r="E108" i="3"/>
  <c r="F108" i="3" s="1"/>
  <c r="J50" i="3"/>
  <c r="L50" i="3" s="1"/>
  <c r="V50" i="3"/>
  <c r="G108" i="3" l="1"/>
  <c r="E109" i="3"/>
  <c r="F109" i="3" s="1"/>
  <c r="I51" i="3"/>
  <c r="M50" i="3"/>
  <c r="T50" i="3"/>
  <c r="Q50" i="3" s="1"/>
  <c r="G109" i="3" l="1"/>
  <c r="E110" i="3"/>
  <c r="F110" i="3" s="1"/>
  <c r="K51" i="3"/>
  <c r="U50" i="3"/>
  <c r="S51" i="3"/>
  <c r="G110" i="3" l="1"/>
  <c r="E111" i="3"/>
  <c r="F111" i="3" s="1"/>
  <c r="J51" i="3"/>
  <c r="T51" i="3" s="1"/>
  <c r="V51" i="3"/>
  <c r="G111" i="3" l="1"/>
  <c r="E112" i="3"/>
  <c r="F112" i="3" s="1"/>
  <c r="U51" i="3"/>
  <c r="S52" i="3"/>
  <c r="L51" i="3"/>
  <c r="M51" i="3"/>
  <c r="Q51" i="3"/>
  <c r="I52" i="3"/>
  <c r="G112" i="3" l="1"/>
  <c r="E113" i="3"/>
  <c r="F113" i="3" s="1"/>
  <c r="K52" i="3"/>
  <c r="G113" i="3" l="1"/>
  <c r="E114" i="3"/>
  <c r="F114" i="3" s="1"/>
  <c r="J52" i="3"/>
  <c r="V52" i="3"/>
  <c r="G114" i="3" l="1"/>
  <c r="E115" i="3"/>
  <c r="F115" i="3" s="1"/>
  <c r="T52" i="3"/>
  <c r="I53" i="3"/>
  <c r="M52" i="3"/>
  <c r="L52" i="3"/>
  <c r="G115" i="3" l="1"/>
  <c r="E116" i="3"/>
  <c r="F116" i="3" s="1"/>
  <c r="S53" i="3"/>
  <c r="U52" i="3"/>
  <c r="K53" i="3"/>
  <c r="Q52" i="3"/>
  <c r="G116" i="3" l="1"/>
  <c r="E117" i="3"/>
  <c r="F117" i="3" s="1"/>
  <c r="J53" i="3"/>
  <c r="I54" i="3" s="1"/>
  <c r="V53" i="3"/>
  <c r="G117" i="3" l="1"/>
  <c r="E118" i="3"/>
  <c r="F118" i="3" s="1"/>
  <c r="M53" i="3"/>
  <c r="L53" i="3"/>
  <c r="T53" i="3"/>
  <c r="K54" i="3"/>
  <c r="G118" i="3" l="1"/>
  <c r="E119" i="3"/>
  <c r="F119" i="3" s="1"/>
  <c r="J54" i="3"/>
  <c r="I55" i="3" s="1"/>
  <c r="V54" i="3"/>
  <c r="Q53" i="3"/>
  <c r="S54" i="3"/>
  <c r="U53" i="3"/>
  <c r="G119" i="3" l="1"/>
  <c r="E120" i="3"/>
  <c r="F120" i="3" s="1"/>
  <c r="K55" i="3"/>
  <c r="M54" i="3"/>
  <c r="L54" i="3"/>
  <c r="T54" i="3"/>
  <c r="Q54" i="3" s="1"/>
  <c r="G120" i="3" l="1"/>
  <c r="E121" i="3"/>
  <c r="F121" i="3" s="1"/>
  <c r="S55" i="3"/>
  <c r="U54" i="3"/>
  <c r="J55" i="3"/>
  <c r="I56" i="3" s="1"/>
  <c r="V55" i="3"/>
  <c r="G121" i="3" l="1"/>
  <c r="E122" i="3"/>
  <c r="F122" i="3" s="1"/>
  <c r="K56" i="3"/>
  <c r="M55" i="3"/>
  <c r="T55" i="3"/>
  <c r="L55" i="3"/>
  <c r="G122" i="3" l="1"/>
  <c r="E123" i="3"/>
  <c r="F123" i="3" s="1"/>
  <c r="J56" i="3"/>
  <c r="I57" i="3" s="1"/>
  <c r="V56" i="3"/>
  <c r="Q55" i="3"/>
  <c r="S56" i="3"/>
  <c r="U55" i="3"/>
  <c r="G123" i="3" l="1"/>
  <c r="E124" i="3"/>
  <c r="F124" i="3" s="1"/>
  <c r="M56" i="3"/>
  <c r="L56" i="3"/>
  <c r="T56" i="3"/>
  <c r="Q56" i="3" s="1"/>
  <c r="K57" i="3"/>
  <c r="G124" i="3" l="1"/>
  <c r="E125" i="3"/>
  <c r="F125" i="3" s="1"/>
  <c r="U56" i="3"/>
  <c r="S57" i="3"/>
  <c r="J57" i="3"/>
  <c r="V57" i="3"/>
  <c r="G125" i="3" l="1"/>
  <c r="E126" i="3"/>
  <c r="F126" i="3" s="1"/>
  <c r="I58" i="3"/>
  <c r="T57" i="3"/>
  <c r="Q57" i="3" s="1"/>
  <c r="M57" i="3"/>
  <c r="L57" i="3"/>
  <c r="G126" i="3" l="1"/>
  <c r="E127" i="3"/>
  <c r="F127" i="3" s="1"/>
  <c r="S58" i="3"/>
  <c r="U57" i="3"/>
  <c r="K58" i="3"/>
  <c r="G127" i="3" l="1"/>
  <c r="E128" i="3"/>
  <c r="F128" i="3" s="1"/>
  <c r="J58" i="3"/>
  <c r="M58" i="3" s="1"/>
  <c r="V58" i="3"/>
  <c r="G128" i="3" l="1"/>
  <c r="E129" i="3"/>
  <c r="F129" i="3" s="1"/>
  <c r="L58" i="3"/>
  <c r="T58" i="3"/>
  <c r="I59" i="3"/>
  <c r="G129" i="3" l="1"/>
  <c r="E130" i="3"/>
  <c r="F130" i="3" s="1"/>
  <c r="K59" i="3"/>
  <c r="U58" i="3"/>
  <c r="S59" i="3"/>
  <c r="Q58" i="3"/>
  <c r="G130" i="3" l="1"/>
  <c r="E131" i="3"/>
  <c r="F131" i="3" s="1"/>
  <c r="J59" i="3"/>
  <c r="V59" i="3"/>
  <c r="G131" i="3" l="1"/>
  <c r="E132" i="3"/>
  <c r="F132" i="3" s="1"/>
  <c r="I60" i="3"/>
  <c r="M59" i="3"/>
  <c r="T59" i="3"/>
  <c r="L59" i="3"/>
  <c r="G132" i="3" l="1"/>
  <c r="E133" i="3"/>
  <c r="F133" i="3" s="1"/>
  <c r="U59" i="3"/>
  <c r="S60" i="3"/>
  <c r="K60" i="3"/>
  <c r="Q59" i="3"/>
  <c r="G133" i="3" l="1"/>
  <c r="E134" i="3"/>
  <c r="F134" i="3" s="1"/>
  <c r="J60" i="3"/>
  <c r="T60" i="3" s="1"/>
  <c r="V60" i="3"/>
  <c r="G134" i="3" l="1"/>
  <c r="E135" i="3"/>
  <c r="F135" i="3" s="1"/>
  <c r="S61" i="3"/>
  <c r="U60" i="3"/>
  <c r="L60" i="3"/>
  <c r="M60" i="3"/>
  <c r="Q60" i="3"/>
  <c r="I61" i="3"/>
  <c r="G135" i="3" l="1"/>
  <c r="E136" i="3"/>
  <c r="F136" i="3" s="1"/>
  <c r="K61" i="3"/>
  <c r="G136" i="3" l="1"/>
  <c r="E137" i="3"/>
  <c r="F137" i="3" s="1"/>
  <c r="J61" i="3"/>
  <c r="L61" i="3" s="1"/>
  <c r="V61" i="3"/>
  <c r="G137" i="3" l="1"/>
  <c r="E138" i="3"/>
  <c r="F138" i="3" s="1"/>
  <c r="M61" i="3"/>
  <c r="I62" i="3"/>
  <c r="T61" i="3"/>
  <c r="G138" i="3" l="1"/>
  <c r="E139" i="3"/>
  <c r="F139" i="3" s="1"/>
  <c r="S62" i="3"/>
  <c r="U61" i="3"/>
  <c r="K62" i="3"/>
  <c r="Q61" i="3"/>
  <c r="G139" i="3" l="1"/>
  <c r="E140" i="3"/>
  <c r="F140" i="3" s="1"/>
  <c r="J62" i="3"/>
  <c r="T62" i="3" s="1"/>
  <c r="V62" i="3"/>
  <c r="G140" i="3" l="1"/>
  <c r="E141" i="3"/>
  <c r="F141" i="3" s="1"/>
  <c r="S63" i="3"/>
  <c r="U62" i="3"/>
  <c r="L62" i="3"/>
  <c r="M62" i="3"/>
  <c r="Q62" i="3"/>
  <c r="I63" i="3"/>
  <c r="G141" i="3" l="1"/>
  <c r="E142" i="3"/>
  <c r="F142" i="3" s="1"/>
  <c r="K63" i="3"/>
  <c r="G142" i="3" l="1"/>
  <c r="E143" i="3"/>
  <c r="F143" i="3" s="1"/>
  <c r="J63" i="3"/>
  <c r="M63" i="3" s="1"/>
  <c r="V63" i="3"/>
  <c r="G143" i="3" l="1"/>
  <c r="E144" i="3"/>
  <c r="F144" i="3" s="1"/>
  <c r="L63" i="3"/>
  <c r="I64" i="3"/>
  <c r="T63" i="3"/>
  <c r="G144" i="3" l="1"/>
  <c r="E145" i="3"/>
  <c r="F145" i="3" s="1"/>
  <c r="U63" i="3"/>
  <c r="S64" i="3"/>
  <c r="K64" i="3"/>
  <c r="Q63" i="3"/>
  <c r="G145" i="3" l="1"/>
  <c r="E146" i="3"/>
  <c r="F146" i="3" s="1"/>
  <c r="J64" i="3"/>
  <c r="L64" i="3" s="1"/>
  <c r="V64" i="3"/>
  <c r="G146" i="3" l="1"/>
  <c r="E147" i="3"/>
  <c r="F147" i="3" s="1"/>
  <c r="M64" i="3"/>
  <c r="T64" i="3"/>
  <c r="Q64" i="3" s="1"/>
  <c r="I65" i="3"/>
  <c r="G147" i="3" l="1"/>
  <c r="E148" i="3"/>
  <c r="F148" i="3" s="1"/>
  <c r="K65" i="3"/>
  <c r="U64" i="3"/>
  <c r="S65" i="3"/>
  <c r="G148" i="3" l="1"/>
  <c r="E149" i="3"/>
  <c r="F149" i="3" s="1"/>
  <c r="J65" i="3"/>
  <c r="M65" i="3" s="1"/>
  <c r="V65" i="3"/>
  <c r="G149" i="3" l="1"/>
  <c r="E150" i="3"/>
  <c r="F150" i="3" s="1"/>
  <c r="L65" i="3"/>
  <c r="T65" i="3"/>
  <c r="Q65" i="3" s="1"/>
  <c r="I66" i="3"/>
  <c r="G150" i="3" l="1"/>
  <c r="E151" i="3"/>
  <c r="F151" i="3" s="1"/>
  <c r="K66" i="3"/>
  <c r="U65" i="3"/>
  <c r="S66" i="3"/>
  <c r="G151" i="3" l="1"/>
  <c r="E152" i="3"/>
  <c r="F152" i="3" s="1"/>
  <c r="J66" i="3"/>
  <c r="T66" i="3" s="1"/>
  <c r="V66" i="3"/>
  <c r="G152" i="3" l="1"/>
  <c r="E153" i="3"/>
  <c r="F153" i="3" s="1"/>
  <c r="U66" i="3"/>
  <c r="S67" i="3"/>
  <c r="M66" i="3"/>
  <c r="L66" i="3"/>
  <c r="Q66" i="3"/>
  <c r="I67" i="3"/>
  <c r="G153" i="3" l="1"/>
  <c r="E154" i="3"/>
  <c r="F154" i="3" s="1"/>
  <c r="K67" i="3"/>
  <c r="G154" i="3" l="1"/>
  <c r="E155" i="3"/>
  <c r="F155" i="3" s="1"/>
  <c r="J67" i="3"/>
  <c r="M67" i="3" s="1"/>
  <c r="V67" i="3"/>
  <c r="G155" i="3" l="1"/>
  <c r="E156" i="3"/>
  <c r="F156" i="3" s="1"/>
  <c r="L67" i="3"/>
  <c r="I68" i="3"/>
  <c r="T67" i="3"/>
  <c r="G156" i="3" l="1"/>
  <c r="E157" i="3"/>
  <c r="F157" i="3" s="1"/>
  <c r="Q67" i="3"/>
  <c r="S68" i="3"/>
  <c r="U67" i="3"/>
  <c r="K68" i="3"/>
  <c r="G157" i="3" l="1"/>
  <c r="E158" i="3"/>
  <c r="F158" i="3" s="1"/>
  <c r="V68" i="3"/>
  <c r="J68" i="3"/>
  <c r="L68" i="3" s="1"/>
  <c r="G158" i="3" l="1"/>
  <c r="E159" i="3"/>
  <c r="F159" i="3" s="1"/>
  <c r="M68" i="3"/>
  <c r="I69" i="3"/>
  <c r="T68" i="3"/>
  <c r="Q68" i="3" s="1"/>
  <c r="G159" i="3" l="1"/>
  <c r="E160" i="3"/>
  <c r="F160" i="3" s="1"/>
  <c r="K69" i="3"/>
  <c r="V69" i="3" s="1"/>
  <c r="U68" i="3"/>
  <c r="S69" i="3"/>
  <c r="J69" i="3" l="1"/>
  <c r="I70" i="3" s="1"/>
  <c r="K70" i="3" s="1"/>
  <c r="G160" i="3"/>
  <c r="E161" i="3"/>
  <c r="F161" i="3" s="1"/>
  <c r="L69" i="3" l="1"/>
  <c r="M69" i="3"/>
  <c r="T69" i="3"/>
  <c r="Q69" i="3" s="1"/>
  <c r="G161" i="3"/>
  <c r="E162" i="3"/>
  <c r="F162" i="3" s="1"/>
  <c r="J70" i="3"/>
  <c r="V70" i="3"/>
  <c r="S70" i="3" l="1"/>
  <c r="M70" i="3" s="1"/>
  <c r="U69" i="3"/>
  <c r="G162" i="3"/>
  <c r="E163" i="3"/>
  <c r="F163" i="3" s="1"/>
  <c r="I71" i="3"/>
  <c r="T70" i="3" l="1"/>
  <c r="Q70" i="3" s="1"/>
  <c r="L70" i="3"/>
  <c r="G163" i="3"/>
  <c r="E164" i="3"/>
  <c r="F164" i="3" s="1"/>
  <c r="K71" i="3"/>
  <c r="U70" i="3" l="1"/>
  <c r="S71" i="3"/>
  <c r="G164" i="3"/>
  <c r="E165" i="3"/>
  <c r="F165" i="3" s="1"/>
  <c r="J71" i="3"/>
  <c r="V71" i="3"/>
  <c r="T71" i="3" l="1"/>
  <c r="S72" i="3" s="1"/>
  <c r="G165" i="3"/>
  <c r="E166" i="3"/>
  <c r="F166" i="3" s="1"/>
  <c r="L71" i="3"/>
  <c r="M71" i="3"/>
  <c r="I72" i="3"/>
  <c r="U71" i="3" l="1"/>
  <c r="Q71" i="3"/>
  <c r="G166" i="3"/>
  <c r="E167" i="3"/>
  <c r="F167" i="3" s="1"/>
  <c r="K72" i="3"/>
  <c r="G167" i="3" l="1"/>
  <c r="E168" i="3"/>
  <c r="F168" i="3" s="1"/>
  <c r="J72" i="3"/>
  <c r="V72" i="3"/>
  <c r="G168" i="3" l="1"/>
  <c r="E169" i="3"/>
  <c r="F169" i="3" s="1"/>
  <c r="M72" i="3"/>
  <c r="T72" i="3"/>
  <c r="L72" i="3"/>
  <c r="I73" i="3"/>
  <c r="G169" i="3" l="1"/>
  <c r="E170" i="3"/>
  <c r="F170" i="3" s="1"/>
  <c r="U72" i="3"/>
  <c r="S73" i="3"/>
  <c r="K73" i="3"/>
  <c r="Q72" i="3"/>
  <c r="G170" i="3" l="1"/>
  <c r="E171" i="3"/>
  <c r="F171" i="3" s="1"/>
  <c r="J73" i="3"/>
  <c r="M73" i="3" s="1"/>
  <c r="V73" i="3"/>
  <c r="G171" i="3" l="1"/>
  <c r="E172" i="3"/>
  <c r="F172" i="3" s="1"/>
  <c r="T73" i="3"/>
  <c r="Q73" i="3" s="1"/>
  <c r="L73" i="3"/>
  <c r="I74" i="3"/>
  <c r="G172" i="3" l="1"/>
  <c r="E173" i="3"/>
  <c r="F173" i="3" s="1"/>
  <c r="K74" i="3"/>
  <c r="S74" i="3"/>
  <c r="U73" i="3"/>
  <c r="G173" i="3" l="1"/>
  <c r="E174" i="3"/>
  <c r="F174" i="3" s="1"/>
  <c r="J74" i="3"/>
  <c r="M74" i="3" s="1"/>
  <c r="V74" i="3"/>
  <c r="G174" i="3" l="1"/>
  <c r="E175" i="3"/>
  <c r="F175" i="3" s="1"/>
  <c r="L74" i="3"/>
  <c r="T74" i="3"/>
  <c r="Q74" i="3" s="1"/>
  <c r="I75" i="3"/>
  <c r="G175" i="3" l="1"/>
  <c r="E176" i="3"/>
  <c r="F176" i="3" s="1"/>
  <c r="K75" i="3"/>
  <c r="S75" i="3"/>
  <c r="U74" i="3"/>
  <c r="G176" i="3" l="1"/>
  <c r="E177" i="3"/>
  <c r="F177" i="3" s="1"/>
  <c r="J75" i="3"/>
  <c r="M75" i="3" s="1"/>
  <c r="V75" i="3"/>
  <c r="G177" i="3" l="1"/>
  <c r="E178" i="3"/>
  <c r="F178" i="3" s="1"/>
  <c r="L75" i="3"/>
  <c r="T75" i="3"/>
  <c r="Q75" i="3" s="1"/>
  <c r="I76" i="3"/>
  <c r="G178" i="3" l="1"/>
  <c r="E179" i="3"/>
  <c r="F179" i="3" s="1"/>
  <c r="K76" i="3"/>
  <c r="U75" i="3"/>
  <c r="S76" i="3"/>
  <c r="G179" i="3" l="1"/>
  <c r="E180" i="3"/>
  <c r="F180" i="3" s="1"/>
  <c r="J76" i="3"/>
  <c r="M76" i="3" s="1"/>
  <c r="V76" i="3"/>
  <c r="G180" i="3" l="1"/>
  <c r="E181" i="3"/>
  <c r="F181" i="3" s="1"/>
  <c r="T76" i="3"/>
  <c r="Q76" i="3" s="1"/>
  <c r="L76" i="3"/>
  <c r="I77" i="3"/>
  <c r="G181" i="3" l="1"/>
  <c r="E182" i="3"/>
  <c r="F182" i="3" s="1"/>
  <c r="K77" i="3"/>
  <c r="S77" i="3"/>
  <c r="U76" i="3"/>
  <c r="G182" i="3" l="1"/>
  <c r="E183" i="3"/>
  <c r="F183" i="3" s="1"/>
  <c r="J77" i="3"/>
  <c r="L77" i="3" s="1"/>
  <c r="V77" i="3"/>
  <c r="G183" i="3" l="1"/>
  <c r="E184" i="3"/>
  <c r="F184" i="3" s="1"/>
  <c r="M77" i="3"/>
  <c r="T77" i="3"/>
  <c r="Q77" i="3" s="1"/>
  <c r="I78" i="3"/>
  <c r="G184" i="3" l="1"/>
  <c r="E185" i="3"/>
  <c r="F185" i="3" s="1"/>
  <c r="K78" i="3"/>
  <c r="U77" i="3"/>
  <c r="S78" i="3"/>
  <c r="G185" i="3" l="1"/>
  <c r="E186" i="3"/>
  <c r="F186" i="3" s="1"/>
  <c r="J78" i="3"/>
  <c r="M78" i="3" s="1"/>
  <c r="V78" i="3"/>
  <c r="G186" i="3" l="1"/>
  <c r="E187" i="3"/>
  <c r="F187" i="3" s="1"/>
  <c r="T78" i="3"/>
  <c r="Q78" i="3" s="1"/>
  <c r="L78" i="3"/>
  <c r="I79" i="3"/>
  <c r="G187" i="3" l="1"/>
  <c r="E188" i="3"/>
  <c r="F188" i="3" s="1"/>
  <c r="K79" i="3"/>
  <c r="U78" i="3"/>
  <c r="S79" i="3"/>
  <c r="G188" i="3" l="1"/>
  <c r="E189" i="3"/>
  <c r="F189" i="3" s="1"/>
  <c r="J79" i="3"/>
  <c r="T79" i="3" s="1"/>
  <c r="V79" i="3"/>
  <c r="G189" i="3" l="1"/>
  <c r="E190" i="3"/>
  <c r="F190" i="3" s="1"/>
  <c r="U79" i="3"/>
  <c r="S80" i="3"/>
  <c r="M79" i="3"/>
  <c r="L79" i="3"/>
  <c r="Q79" i="3"/>
  <c r="I80" i="3"/>
  <c r="G190" i="3" l="1"/>
  <c r="E191" i="3"/>
  <c r="F191" i="3" s="1"/>
  <c r="K80" i="3"/>
  <c r="G191" i="3" l="1"/>
  <c r="E192" i="3"/>
  <c r="F192" i="3" s="1"/>
  <c r="J80" i="3"/>
  <c r="M80" i="3" s="1"/>
  <c r="V80" i="3"/>
  <c r="G192" i="3" l="1"/>
  <c r="E193" i="3"/>
  <c r="F193" i="3" s="1"/>
  <c r="L80" i="3"/>
  <c r="I81" i="3"/>
  <c r="T80" i="3"/>
  <c r="G193" i="3" l="1"/>
  <c r="E194" i="3"/>
  <c r="F194" i="3" s="1"/>
  <c r="U80" i="3"/>
  <c r="S81" i="3"/>
  <c r="K81" i="3"/>
  <c r="Q80" i="3"/>
  <c r="G194" i="3" l="1"/>
  <c r="E195" i="3"/>
  <c r="F195" i="3" s="1"/>
  <c r="J81" i="3"/>
  <c r="M81" i="3" s="1"/>
  <c r="V81" i="3"/>
  <c r="G195" i="3" l="1"/>
  <c r="E196" i="3"/>
  <c r="F196" i="3" s="1"/>
  <c r="T81" i="3"/>
  <c r="Q81" i="3" s="1"/>
  <c r="L81" i="3"/>
  <c r="I82" i="3"/>
  <c r="G196" i="3" l="1"/>
  <c r="E197" i="3"/>
  <c r="F197" i="3" s="1"/>
  <c r="K82" i="3"/>
  <c r="S82" i="3"/>
  <c r="U81" i="3"/>
  <c r="G197" i="3" l="1"/>
  <c r="E198" i="3"/>
  <c r="F198" i="3" s="1"/>
  <c r="J82" i="3"/>
  <c r="T82" i="3" s="1"/>
  <c r="V82" i="3"/>
  <c r="G198" i="3" l="1"/>
  <c r="E199" i="3"/>
  <c r="F199" i="3" s="1"/>
  <c r="S83" i="3"/>
  <c r="U82" i="3"/>
  <c r="L82" i="3"/>
  <c r="M82" i="3"/>
  <c r="Q82" i="3"/>
  <c r="I83" i="3"/>
  <c r="G199" i="3" l="1"/>
  <c r="E200" i="3"/>
  <c r="F200" i="3" s="1"/>
  <c r="K83" i="3"/>
  <c r="G200" i="3" l="1"/>
  <c r="E201" i="3"/>
  <c r="F201" i="3" s="1"/>
  <c r="J83" i="3"/>
  <c r="V83" i="3"/>
  <c r="G201" i="3" l="1"/>
  <c r="E202" i="3"/>
  <c r="F202" i="3" s="1"/>
  <c r="I84" i="3"/>
  <c r="T83" i="3"/>
  <c r="L83" i="3"/>
  <c r="M83" i="3"/>
  <c r="G202" i="3" l="1"/>
  <c r="E203" i="3"/>
  <c r="F203" i="3" s="1"/>
  <c r="U83" i="3"/>
  <c r="S84" i="3"/>
  <c r="K84" i="3"/>
  <c r="Q83" i="3"/>
  <c r="G203" i="3" l="1"/>
  <c r="E204" i="3"/>
  <c r="F204" i="3" s="1"/>
  <c r="J84" i="3"/>
  <c r="T84" i="3" s="1"/>
  <c r="V84" i="3"/>
  <c r="G204" i="3" l="1"/>
  <c r="E205" i="3"/>
  <c r="F205" i="3" s="1"/>
  <c r="S85" i="3"/>
  <c r="U84" i="3"/>
  <c r="M84" i="3"/>
  <c r="L84" i="3"/>
  <c r="Q84" i="3"/>
  <c r="I85" i="3"/>
  <c r="G205" i="3" l="1"/>
  <c r="E206" i="3"/>
  <c r="F206" i="3" s="1"/>
  <c r="K85" i="3"/>
  <c r="G206" i="3" l="1"/>
  <c r="E207" i="3"/>
  <c r="F207" i="3" s="1"/>
  <c r="J85" i="3"/>
  <c r="M85" i="3" s="1"/>
  <c r="V85" i="3"/>
  <c r="G207" i="3" l="1"/>
  <c r="E208" i="3"/>
  <c r="F208" i="3" s="1"/>
  <c r="I86" i="3"/>
  <c r="T85" i="3"/>
  <c r="L85" i="3"/>
  <c r="G208" i="3" l="1"/>
  <c r="E209" i="3"/>
  <c r="F209" i="3" s="1"/>
  <c r="S86" i="3"/>
  <c r="U85" i="3"/>
  <c r="K86" i="3"/>
  <c r="Q85" i="3"/>
  <c r="G209" i="3" l="1"/>
  <c r="E210" i="3"/>
  <c r="F210" i="3" s="1"/>
  <c r="J86" i="3"/>
  <c r="M86" i="3" s="1"/>
  <c r="V86" i="3"/>
  <c r="G210" i="3" l="1"/>
  <c r="E211" i="3"/>
  <c r="F211" i="3" s="1"/>
  <c r="T86" i="3"/>
  <c r="Q86" i="3" s="1"/>
  <c r="L86" i="3"/>
  <c r="I87" i="3"/>
  <c r="G211" i="3" l="1"/>
  <c r="E212" i="3"/>
  <c r="F212" i="3" s="1"/>
  <c r="K87" i="3"/>
  <c r="S87" i="3"/>
  <c r="U86" i="3"/>
  <c r="G212" i="3" l="1"/>
  <c r="E213" i="3"/>
  <c r="F213" i="3" s="1"/>
  <c r="J87" i="3"/>
  <c r="M87" i="3" s="1"/>
  <c r="V87" i="3"/>
  <c r="G213" i="3" l="1"/>
  <c r="E214" i="3"/>
  <c r="F214" i="3" s="1"/>
  <c r="T87" i="3"/>
  <c r="Q87" i="3" s="1"/>
  <c r="L87" i="3"/>
  <c r="I88" i="3"/>
  <c r="G214" i="3" l="1"/>
  <c r="E215" i="3"/>
  <c r="F215" i="3" s="1"/>
  <c r="K88" i="3"/>
  <c r="U87" i="3"/>
  <c r="S88" i="3"/>
  <c r="G215" i="3" l="1"/>
  <c r="E216" i="3"/>
  <c r="F216" i="3" s="1"/>
  <c r="J88" i="3"/>
  <c r="L88" i="3" s="1"/>
  <c r="V88" i="3"/>
  <c r="G216" i="3" l="1"/>
  <c r="E217" i="3"/>
  <c r="F217" i="3" s="1"/>
  <c r="I89" i="3"/>
  <c r="M88" i="3"/>
  <c r="T88" i="3"/>
  <c r="G217" i="3" l="1"/>
  <c r="E218" i="3"/>
  <c r="F218" i="3" s="1"/>
  <c r="U88" i="3"/>
  <c r="S89" i="3"/>
  <c r="K89" i="3"/>
  <c r="Q88" i="3"/>
  <c r="G218" i="3" l="1"/>
  <c r="E219" i="3"/>
  <c r="F219" i="3" s="1"/>
  <c r="J89" i="3"/>
  <c r="T89" i="3" s="1"/>
  <c r="V89" i="3"/>
  <c r="G219" i="3" l="1"/>
  <c r="E220" i="3"/>
  <c r="F220" i="3" s="1"/>
  <c r="S90" i="3"/>
  <c r="U89" i="3"/>
  <c r="L89" i="3"/>
  <c r="M89" i="3"/>
  <c r="Q89" i="3"/>
  <c r="I90" i="3"/>
  <c r="G220" i="3" l="1"/>
  <c r="E221" i="3"/>
  <c r="F221" i="3" s="1"/>
  <c r="K90" i="3"/>
  <c r="G221" i="3" l="1"/>
  <c r="E222" i="3"/>
  <c r="F222" i="3" s="1"/>
  <c r="J90" i="3"/>
  <c r="L90" i="3" s="1"/>
  <c r="V90" i="3"/>
  <c r="G222" i="3" l="1"/>
  <c r="E223" i="3"/>
  <c r="F223" i="3" s="1"/>
  <c r="M90" i="3"/>
  <c r="I91" i="3"/>
  <c r="T90" i="3"/>
  <c r="G223" i="3" l="1"/>
  <c r="E224" i="3"/>
  <c r="F224" i="3" s="1"/>
  <c r="U90" i="3"/>
  <c r="S91" i="3"/>
  <c r="K91" i="3"/>
  <c r="Q90" i="3"/>
  <c r="G224" i="3" l="1"/>
  <c r="E225" i="3"/>
  <c r="F225" i="3" s="1"/>
  <c r="J91" i="3"/>
  <c r="T91" i="3" s="1"/>
  <c r="V91" i="3"/>
  <c r="G225" i="3" l="1"/>
  <c r="E226" i="3"/>
  <c r="F226" i="3" s="1"/>
  <c r="S92" i="3"/>
  <c r="U91" i="3"/>
  <c r="L91" i="3"/>
  <c r="M91" i="3"/>
  <c r="Q91" i="3"/>
  <c r="I92" i="3"/>
  <c r="G226" i="3" l="1"/>
  <c r="E227" i="3"/>
  <c r="F227" i="3" s="1"/>
  <c r="K92" i="3"/>
  <c r="G227" i="3" l="1"/>
  <c r="E228" i="3"/>
  <c r="F228" i="3" s="1"/>
  <c r="J92" i="3"/>
  <c r="M92" i="3" s="1"/>
  <c r="V92" i="3"/>
  <c r="G228" i="3" l="1"/>
  <c r="E229" i="3"/>
  <c r="F229" i="3" s="1"/>
  <c r="L92" i="3"/>
  <c r="I93" i="3"/>
  <c r="T92" i="3"/>
  <c r="G229" i="3" l="1"/>
  <c r="E230" i="3"/>
  <c r="F230" i="3" s="1"/>
  <c r="U92" i="3"/>
  <c r="S93" i="3"/>
  <c r="K93" i="3"/>
  <c r="Q92" i="3"/>
  <c r="G230" i="3" l="1"/>
  <c r="E231" i="3"/>
  <c r="F231" i="3" s="1"/>
  <c r="J93" i="3"/>
  <c r="L93" i="3" s="1"/>
  <c r="V93" i="3"/>
  <c r="G231" i="3" l="1"/>
  <c r="E232" i="3"/>
  <c r="F232" i="3" s="1"/>
  <c r="M93" i="3"/>
  <c r="T93" i="3"/>
  <c r="Q93" i="3" s="1"/>
  <c r="I94" i="3"/>
  <c r="G232" i="3" l="1"/>
  <c r="E233" i="3"/>
  <c r="F233" i="3" s="1"/>
  <c r="K94" i="3"/>
  <c r="U93" i="3"/>
  <c r="S94" i="3"/>
  <c r="G233" i="3" l="1"/>
  <c r="E234" i="3"/>
  <c r="F234" i="3" s="1"/>
  <c r="J94" i="3"/>
  <c r="M94" i="3" s="1"/>
  <c r="V94" i="3"/>
  <c r="G234" i="3" l="1"/>
  <c r="E235" i="3"/>
  <c r="F235" i="3" s="1"/>
  <c r="L94" i="3"/>
  <c r="T94" i="3"/>
  <c r="Q94" i="3" s="1"/>
  <c r="I95" i="3"/>
  <c r="G235" i="3" l="1"/>
  <c r="E236" i="3"/>
  <c r="F236" i="3" s="1"/>
  <c r="K95" i="3"/>
  <c r="U94" i="3"/>
  <c r="S95" i="3"/>
  <c r="G236" i="3" l="1"/>
  <c r="E237" i="3"/>
  <c r="F237" i="3" s="1"/>
  <c r="J95" i="3"/>
  <c r="L95" i="3" s="1"/>
  <c r="V95" i="3"/>
  <c r="G237" i="3" l="1"/>
  <c r="E238" i="3"/>
  <c r="F238" i="3" s="1"/>
  <c r="M95" i="3"/>
  <c r="I96" i="3"/>
  <c r="T95" i="3"/>
  <c r="G238" i="3" l="1"/>
  <c r="E239" i="3"/>
  <c r="F239" i="3" s="1"/>
  <c r="U95" i="3"/>
  <c r="S96" i="3"/>
  <c r="K96" i="3"/>
  <c r="Q95" i="3"/>
  <c r="G239" i="3" l="1"/>
  <c r="E240" i="3"/>
  <c r="F240" i="3" s="1"/>
  <c r="J96" i="3"/>
  <c r="L96" i="3" s="1"/>
  <c r="V96" i="3"/>
  <c r="G240" i="3" l="1"/>
  <c r="E241" i="3"/>
  <c r="F241" i="3" s="1"/>
  <c r="M96" i="3"/>
  <c r="T96" i="3"/>
  <c r="Q96" i="3" s="1"/>
  <c r="I97" i="3"/>
  <c r="G241" i="3" l="1"/>
  <c r="E242" i="3"/>
  <c r="F242" i="3" s="1"/>
  <c r="K97" i="3"/>
  <c r="U96" i="3"/>
  <c r="S97" i="3"/>
  <c r="G242" i="3" l="1"/>
  <c r="E243" i="3"/>
  <c r="F243" i="3" s="1"/>
  <c r="J97" i="3"/>
  <c r="L97" i="3" s="1"/>
  <c r="V97" i="3"/>
  <c r="G243" i="3" l="1"/>
  <c r="E244" i="3"/>
  <c r="F244" i="3" s="1"/>
  <c r="M97" i="3"/>
  <c r="I98" i="3"/>
  <c r="T97" i="3"/>
  <c r="G244" i="3" l="1"/>
  <c r="E245" i="3"/>
  <c r="F245" i="3" s="1"/>
  <c r="U97" i="3"/>
  <c r="S98" i="3"/>
  <c r="K98" i="3"/>
  <c r="Q97" i="3"/>
  <c r="G245" i="3" l="1"/>
  <c r="E246" i="3"/>
  <c r="F246" i="3" s="1"/>
  <c r="J98" i="3"/>
  <c r="M98" i="3" s="1"/>
  <c r="V98" i="3"/>
  <c r="G246" i="3" l="1"/>
  <c r="E247" i="3"/>
  <c r="F247" i="3" s="1"/>
  <c r="T98" i="3"/>
  <c r="U98" i="3" s="1"/>
  <c r="L98" i="3"/>
  <c r="I99" i="3"/>
  <c r="G247" i="3" l="1"/>
  <c r="E248" i="3"/>
  <c r="F248" i="3" s="1"/>
  <c r="Q98" i="3"/>
  <c r="S99" i="3"/>
  <c r="K99" i="3"/>
  <c r="G248" i="3" l="1"/>
  <c r="E249" i="3"/>
  <c r="F249" i="3" s="1"/>
  <c r="G249" i="3" s="1"/>
  <c r="J99" i="3"/>
  <c r="L99" i="3" s="1"/>
  <c r="V99" i="3"/>
  <c r="M99" i="3" l="1"/>
  <c r="I100" i="3"/>
  <c r="T99" i="3"/>
  <c r="S100" i="3" l="1"/>
  <c r="U99" i="3"/>
  <c r="K100" i="3"/>
  <c r="Q99" i="3"/>
  <c r="J100" i="3" l="1"/>
  <c r="L100" i="3" s="1"/>
  <c r="V100" i="3"/>
  <c r="M100" i="3" l="1"/>
  <c r="T100" i="3"/>
  <c r="I101" i="3"/>
  <c r="K101" i="3" l="1"/>
  <c r="U100" i="3"/>
  <c r="S101" i="3"/>
  <c r="Q100" i="3"/>
  <c r="J101" i="3" l="1"/>
  <c r="L101" i="3" s="1"/>
  <c r="V101" i="3"/>
  <c r="I102" i="3" l="1"/>
  <c r="M101" i="3"/>
  <c r="T101" i="3"/>
  <c r="U101" i="3" l="1"/>
  <c r="S102" i="3"/>
  <c r="K102" i="3"/>
  <c r="Q101" i="3"/>
  <c r="J102" i="3" l="1"/>
  <c r="M102" i="3" s="1"/>
  <c r="V102" i="3"/>
  <c r="T102" i="3" l="1"/>
  <c r="S103" i="3" s="1"/>
  <c r="L102" i="3"/>
  <c r="I103" i="3"/>
  <c r="Q102" i="3" l="1"/>
  <c r="U102" i="3"/>
  <c r="K103" i="3"/>
  <c r="J103" i="3" l="1"/>
  <c r="L103" i="3" s="1"/>
  <c r="V103" i="3"/>
  <c r="M103" i="3" l="1"/>
  <c r="T103" i="3"/>
  <c r="I104" i="3"/>
  <c r="K104" i="3" l="1"/>
  <c r="U103" i="3"/>
  <c r="S104" i="3"/>
  <c r="Q103" i="3"/>
  <c r="J104" i="3" l="1"/>
  <c r="V104" i="3"/>
  <c r="I105" i="3" l="1"/>
  <c r="M104" i="3"/>
  <c r="T104" i="3"/>
  <c r="L104" i="3"/>
  <c r="K105" i="3" l="1"/>
  <c r="S105" i="3"/>
  <c r="U104" i="3"/>
  <c r="Q104" i="3"/>
  <c r="J105" i="3" l="1"/>
  <c r="L105" i="3" s="1"/>
  <c r="V105" i="3"/>
  <c r="M105" i="3" l="1"/>
  <c r="I106" i="3"/>
  <c r="T105" i="3"/>
  <c r="Q105" i="3" s="1"/>
  <c r="K106" i="3" l="1"/>
  <c r="U105" i="3"/>
  <c r="S106" i="3"/>
  <c r="J106" i="3" l="1"/>
  <c r="M106" i="3" s="1"/>
  <c r="V106" i="3"/>
  <c r="I107" i="3" l="1"/>
  <c r="L106" i="3"/>
  <c r="T106" i="3"/>
  <c r="U106" i="3" l="1"/>
  <c r="S107" i="3"/>
  <c r="K107" i="3"/>
  <c r="Q106" i="3"/>
  <c r="J107" i="3" l="1"/>
  <c r="M107" i="3" s="1"/>
  <c r="V107" i="3"/>
  <c r="T107" i="3" l="1"/>
  <c r="Q107" i="3" s="1"/>
  <c r="L107" i="3"/>
  <c r="I108" i="3"/>
  <c r="K108" i="3" l="1"/>
  <c r="S108" i="3"/>
  <c r="U107" i="3"/>
  <c r="J108" i="3" l="1"/>
  <c r="L108" i="3" s="1"/>
  <c r="V108" i="3"/>
  <c r="I109" i="3" l="1"/>
  <c r="M108" i="3"/>
  <c r="T108" i="3"/>
  <c r="U108" i="3" l="1"/>
  <c r="S109" i="3"/>
  <c r="K109" i="3"/>
  <c r="Q108" i="3"/>
  <c r="J109" i="3" l="1"/>
  <c r="M109" i="3" s="1"/>
  <c r="V109" i="3"/>
  <c r="T109" i="3" l="1"/>
  <c r="Q109" i="3" s="1"/>
  <c r="L109" i="3"/>
  <c r="I110" i="3"/>
  <c r="K110" i="3" l="1"/>
  <c r="S110" i="3"/>
  <c r="U109" i="3"/>
  <c r="J110" i="3" l="1"/>
  <c r="L110" i="3" s="1"/>
  <c r="V110" i="3"/>
  <c r="M110" i="3" l="1"/>
  <c r="I111" i="3"/>
  <c r="T110" i="3"/>
  <c r="U110" i="3" l="1"/>
  <c r="S111" i="3"/>
  <c r="K111" i="3"/>
  <c r="Q110" i="3"/>
  <c r="J111" i="3" l="1"/>
  <c r="M111" i="3" s="1"/>
  <c r="V111" i="3"/>
  <c r="T111" i="3" l="1"/>
  <c r="S112" i="3" s="1"/>
  <c r="L111" i="3"/>
  <c r="I112" i="3"/>
  <c r="U111" i="3" l="1"/>
  <c r="Q111" i="3"/>
  <c r="K112" i="3"/>
  <c r="J112" i="3" l="1"/>
  <c r="L112" i="3" s="1"/>
  <c r="V112" i="3"/>
  <c r="M112" i="3" l="1"/>
  <c r="T112" i="3"/>
  <c r="I113" i="3"/>
  <c r="K113" i="3" l="1"/>
  <c r="U112" i="3"/>
  <c r="S113" i="3"/>
  <c r="Q112" i="3"/>
  <c r="J113" i="3" l="1"/>
  <c r="L113" i="3" s="1"/>
  <c r="V113" i="3"/>
  <c r="I114" i="3" l="1"/>
  <c r="M113" i="3"/>
  <c r="T113" i="3"/>
  <c r="U113" i="3" l="1"/>
  <c r="S114" i="3"/>
  <c r="K114" i="3"/>
  <c r="Q113" i="3"/>
  <c r="J114" i="3" l="1"/>
  <c r="L114" i="3" s="1"/>
  <c r="V114" i="3"/>
  <c r="T114" i="3" l="1"/>
  <c r="Q114" i="3" s="1"/>
  <c r="M114" i="3"/>
  <c r="I115" i="3"/>
  <c r="K115" i="3" l="1"/>
  <c r="U114" i="3"/>
  <c r="S115" i="3"/>
  <c r="J115" i="3" l="1"/>
  <c r="M115" i="3" s="1"/>
  <c r="V115" i="3"/>
  <c r="L115" i="3" l="1"/>
  <c r="I116" i="3"/>
  <c r="T115" i="3"/>
  <c r="U115" i="3" l="1"/>
  <c r="S116" i="3"/>
  <c r="K116" i="3"/>
  <c r="Q115" i="3"/>
  <c r="J116" i="3" l="1"/>
  <c r="M116" i="3" s="1"/>
  <c r="V116" i="3"/>
  <c r="T116" i="3" l="1"/>
  <c r="Q116" i="3" s="1"/>
  <c r="L116" i="3"/>
  <c r="I117" i="3"/>
  <c r="K117" i="3" l="1"/>
  <c r="S117" i="3"/>
  <c r="U116" i="3"/>
  <c r="J117" i="3" l="1"/>
  <c r="L117" i="3" s="1"/>
  <c r="V117" i="3"/>
  <c r="I118" i="3" l="1"/>
  <c r="M117" i="3"/>
  <c r="T117" i="3"/>
  <c r="U117" i="3" l="1"/>
  <c r="S118" i="3"/>
  <c r="K118" i="3"/>
  <c r="Q117" i="3"/>
  <c r="J118" i="3" l="1"/>
  <c r="M118" i="3" s="1"/>
  <c r="V118" i="3"/>
  <c r="T118" i="3" l="1"/>
  <c r="S119" i="3" s="1"/>
  <c r="L118" i="3"/>
  <c r="I119" i="3"/>
  <c r="U118" i="3" l="1"/>
  <c r="Q118" i="3"/>
  <c r="K119" i="3"/>
  <c r="J119" i="3" l="1"/>
  <c r="L119" i="3" s="1"/>
  <c r="V119" i="3"/>
  <c r="M119" i="3" l="1"/>
  <c r="T119" i="3"/>
  <c r="I120" i="3"/>
  <c r="K120" i="3" l="1"/>
  <c r="U119" i="3"/>
  <c r="S120" i="3"/>
  <c r="Q119" i="3"/>
  <c r="J120" i="3" l="1"/>
  <c r="M120" i="3" s="1"/>
  <c r="V120" i="3"/>
  <c r="L120" i="3" l="1"/>
  <c r="I121" i="3"/>
  <c r="T120" i="3"/>
  <c r="Q120" i="3" s="1"/>
  <c r="K121" i="3" l="1"/>
  <c r="U120" i="3"/>
  <c r="S121" i="3"/>
  <c r="J121" i="3" l="1"/>
  <c r="V121" i="3"/>
  <c r="I122" i="3" l="1"/>
  <c r="M121" i="3"/>
  <c r="T121" i="3"/>
  <c r="L121" i="3"/>
  <c r="U121" i="3" l="1"/>
  <c r="S122" i="3"/>
  <c r="K122" i="3"/>
  <c r="Q121" i="3"/>
  <c r="J122" i="3" l="1"/>
  <c r="T122" i="3" s="1"/>
  <c r="V122" i="3"/>
  <c r="S123" i="3" l="1"/>
  <c r="U122" i="3"/>
  <c r="M122" i="3"/>
  <c r="L122" i="3"/>
  <c r="Q122" i="3"/>
  <c r="I123" i="3"/>
  <c r="K123" i="3" l="1"/>
  <c r="J123" i="3" l="1"/>
  <c r="L123" i="3" s="1"/>
  <c r="V123" i="3"/>
  <c r="I124" i="3" l="1"/>
  <c r="T123" i="3"/>
  <c r="M123" i="3"/>
  <c r="S124" i="3" l="1"/>
  <c r="U123" i="3"/>
  <c r="K124" i="3"/>
  <c r="Q123" i="3"/>
  <c r="J124" i="3" l="1"/>
  <c r="M124" i="3" s="1"/>
  <c r="V124" i="3"/>
  <c r="T124" i="3" l="1"/>
  <c r="Q124" i="3" s="1"/>
  <c r="L124" i="3"/>
  <c r="I125" i="3"/>
  <c r="K125" i="3" l="1"/>
  <c r="U124" i="3"/>
  <c r="S125" i="3"/>
  <c r="J125" i="3" l="1"/>
  <c r="L125" i="3" s="1"/>
  <c r="V125" i="3"/>
  <c r="I126" i="3" l="1"/>
  <c r="M125" i="3"/>
  <c r="T125" i="3"/>
  <c r="U125" i="3" l="1"/>
  <c r="S126" i="3"/>
  <c r="K126" i="3"/>
  <c r="Q125" i="3"/>
  <c r="J126" i="3" l="1"/>
  <c r="T126" i="3" s="1"/>
  <c r="V126" i="3"/>
  <c r="U126" i="3" l="1"/>
  <c r="S127" i="3"/>
  <c r="M126" i="3"/>
  <c r="L126" i="3"/>
  <c r="Q126" i="3"/>
  <c r="I127" i="3"/>
  <c r="K127" i="3" l="1"/>
  <c r="J127" i="3" l="1"/>
  <c r="V127" i="3"/>
  <c r="I128" i="3" l="1"/>
  <c r="T127" i="3"/>
  <c r="M127" i="3"/>
  <c r="L127" i="3"/>
  <c r="S128" i="3" l="1"/>
  <c r="U127" i="3"/>
  <c r="K128" i="3"/>
  <c r="Q127" i="3"/>
  <c r="J128" i="3" l="1"/>
  <c r="M128" i="3" s="1"/>
  <c r="V128" i="3"/>
  <c r="T128" i="3" l="1"/>
  <c r="Q128" i="3" s="1"/>
  <c r="L128" i="3"/>
  <c r="I129" i="3"/>
  <c r="K129" i="3" l="1"/>
  <c r="U128" i="3"/>
  <c r="S129" i="3"/>
  <c r="J129" i="3" l="1"/>
  <c r="L129" i="3" s="1"/>
  <c r="V129" i="3"/>
  <c r="I130" i="3" l="1"/>
  <c r="M129" i="3"/>
  <c r="T129" i="3"/>
  <c r="U129" i="3" l="1"/>
  <c r="S130" i="3"/>
  <c r="K130" i="3"/>
  <c r="Q129" i="3"/>
  <c r="J130" i="3" l="1"/>
  <c r="M130" i="3" s="1"/>
  <c r="V130" i="3"/>
  <c r="T130" i="3" l="1"/>
  <c r="U130" i="3" s="1"/>
  <c r="L130" i="3"/>
  <c r="I131" i="3"/>
  <c r="Q130" i="3" l="1"/>
  <c r="S131" i="3"/>
  <c r="K131" i="3"/>
  <c r="J131" i="3" l="1"/>
  <c r="M131" i="3" s="1"/>
  <c r="V131" i="3"/>
  <c r="I132" i="3" l="1"/>
  <c r="T131" i="3"/>
  <c r="L131" i="3"/>
  <c r="U131" i="3" l="1"/>
  <c r="S132" i="3"/>
  <c r="K132" i="3"/>
  <c r="Q131" i="3"/>
  <c r="J132" i="3" l="1"/>
  <c r="T132" i="3" s="1"/>
  <c r="V132" i="3"/>
  <c r="U132" i="3" l="1"/>
  <c r="S133" i="3"/>
  <c r="L132" i="3"/>
  <c r="M132" i="3"/>
  <c r="Q132" i="3"/>
  <c r="I133" i="3"/>
  <c r="K133" i="3" l="1"/>
  <c r="J133" i="3" l="1"/>
  <c r="V133" i="3"/>
  <c r="T133" i="3" l="1"/>
  <c r="I134" i="3"/>
  <c r="L133" i="3"/>
  <c r="M133" i="3"/>
  <c r="K134" i="3" l="1"/>
  <c r="U133" i="3"/>
  <c r="S134" i="3"/>
  <c r="Q133" i="3"/>
  <c r="J134" i="3" l="1"/>
  <c r="L134" i="3" s="1"/>
  <c r="V134" i="3"/>
  <c r="I135" i="3" l="1"/>
  <c r="M134" i="3"/>
  <c r="T134" i="3"/>
  <c r="U134" i="3" l="1"/>
  <c r="S135" i="3"/>
  <c r="K135" i="3"/>
  <c r="Q134" i="3"/>
  <c r="J135" i="3" l="1"/>
  <c r="L135" i="3" s="1"/>
  <c r="V135" i="3"/>
  <c r="T135" i="3" l="1"/>
  <c r="U135" i="3" s="1"/>
  <c r="M135" i="3"/>
  <c r="I136" i="3"/>
  <c r="S136" i="3" l="1"/>
  <c r="Q135" i="3"/>
  <c r="K136" i="3"/>
  <c r="J136" i="3" l="1"/>
  <c r="M136" i="3" s="1"/>
  <c r="V136" i="3"/>
  <c r="I137" i="3" l="1"/>
  <c r="T136" i="3"/>
  <c r="L136" i="3"/>
  <c r="U136" i="3" l="1"/>
  <c r="S137" i="3"/>
  <c r="K137" i="3"/>
  <c r="Q136" i="3"/>
  <c r="J137" i="3" l="1"/>
  <c r="M137" i="3" s="1"/>
  <c r="V137" i="3"/>
  <c r="T137" i="3" l="1"/>
  <c r="S138" i="3" s="1"/>
  <c r="L137" i="3"/>
  <c r="I138" i="3"/>
  <c r="U137" i="3" l="1"/>
  <c r="Q137" i="3"/>
  <c r="K138" i="3"/>
  <c r="J138" i="3" l="1"/>
  <c r="L138" i="3" s="1"/>
  <c r="V138" i="3"/>
  <c r="M138" i="3" l="1"/>
  <c r="T138" i="3"/>
  <c r="I139" i="3"/>
  <c r="K139" i="3" l="1"/>
  <c r="U138" i="3"/>
  <c r="S139" i="3"/>
  <c r="Q138" i="3"/>
  <c r="J139" i="3" l="1"/>
  <c r="L139" i="3" s="1"/>
  <c r="V139" i="3"/>
  <c r="I140" i="3" l="1"/>
  <c r="M139" i="3"/>
  <c r="T139" i="3"/>
  <c r="U139" i="3" l="1"/>
  <c r="S140" i="3"/>
  <c r="K140" i="3"/>
  <c r="Q139" i="3"/>
  <c r="J140" i="3" l="1"/>
  <c r="M140" i="3" s="1"/>
  <c r="V140" i="3"/>
  <c r="T140" i="3" l="1"/>
  <c r="Q140" i="3" s="1"/>
  <c r="L140" i="3"/>
  <c r="I141" i="3"/>
  <c r="K141" i="3" l="1"/>
  <c r="S141" i="3"/>
  <c r="U140" i="3"/>
  <c r="J141" i="3" l="1"/>
  <c r="M141" i="3" s="1"/>
  <c r="V141" i="3"/>
  <c r="I142" i="3" l="1"/>
  <c r="L141" i="3"/>
  <c r="T141" i="3"/>
  <c r="U141" i="3" l="1"/>
  <c r="S142" i="3"/>
  <c r="K142" i="3"/>
  <c r="Q141" i="3"/>
  <c r="J142" i="3" l="1"/>
  <c r="L142" i="3" s="1"/>
  <c r="V142" i="3"/>
  <c r="T142" i="3" l="1"/>
  <c r="S143" i="3" s="1"/>
  <c r="M142" i="3"/>
  <c r="I143" i="3"/>
  <c r="Q142" i="3" l="1"/>
  <c r="U142" i="3"/>
  <c r="K143" i="3"/>
  <c r="J143" i="3" l="1"/>
  <c r="M143" i="3" s="1"/>
  <c r="V143" i="3"/>
  <c r="L143" i="3" l="1"/>
  <c r="T143" i="3"/>
  <c r="I144" i="3"/>
  <c r="K144" i="3" l="1"/>
  <c r="U143" i="3"/>
  <c r="S144" i="3"/>
  <c r="Q143" i="3"/>
  <c r="J144" i="3" l="1"/>
  <c r="M144" i="3" s="1"/>
  <c r="V144" i="3"/>
  <c r="I145" i="3" l="1"/>
  <c r="L144" i="3"/>
  <c r="T144" i="3"/>
  <c r="U144" i="3" l="1"/>
  <c r="S145" i="3"/>
  <c r="K145" i="3"/>
  <c r="Q144" i="3"/>
  <c r="J145" i="3" l="1"/>
  <c r="L145" i="3" s="1"/>
  <c r="V145" i="3"/>
  <c r="M145" i="3" l="1"/>
  <c r="T145" i="3"/>
  <c r="Q145" i="3" s="1"/>
  <c r="I146" i="3"/>
  <c r="K146" i="3" l="1"/>
  <c r="S146" i="3"/>
  <c r="U145" i="3"/>
  <c r="J146" i="3" l="1"/>
  <c r="L146" i="3" s="1"/>
  <c r="V146" i="3"/>
  <c r="T146" i="3" l="1"/>
  <c r="S147" i="3" s="1"/>
  <c r="M146" i="3"/>
  <c r="I147" i="3"/>
  <c r="Q146" i="3" l="1"/>
  <c r="U146" i="3"/>
  <c r="K147" i="3"/>
  <c r="J147" i="3" l="1"/>
  <c r="M147" i="3" s="1"/>
  <c r="V147" i="3"/>
  <c r="L147" i="3" l="1"/>
  <c r="T147" i="3"/>
  <c r="I148" i="3"/>
  <c r="K148" i="3" l="1"/>
  <c r="U147" i="3"/>
  <c r="S148" i="3"/>
  <c r="Q147" i="3"/>
  <c r="J148" i="3" l="1"/>
  <c r="M148" i="3" s="1"/>
  <c r="V148" i="3"/>
  <c r="L148" i="3" l="1"/>
  <c r="I149" i="3"/>
  <c r="T148" i="3"/>
  <c r="U148" i="3" l="1"/>
  <c r="S149" i="3"/>
  <c r="K149" i="3"/>
  <c r="Q148" i="3"/>
  <c r="J149" i="3" l="1"/>
  <c r="M149" i="3" s="1"/>
  <c r="V149" i="3"/>
  <c r="T149" i="3" l="1"/>
  <c r="Q149" i="3" s="1"/>
  <c r="L149" i="3"/>
  <c r="I150" i="3"/>
  <c r="K150" i="3" l="1"/>
  <c r="S150" i="3"/>
  <c r="U149" i="3"/>
  <c r="J150" i="3" l="1"/>
  <c r="L150" i="3" s="1"/>
  <c r="V150" i="3"/>
  <c r="T150" i="3" l="1"/>
  <c r="Q150" i="3" s="1"/>
  <c r="M150" i="3"/>
  <c r="I151" i="3"/>
  <c r="K151" i="3" l="1"/>
  <c r="S151" i="3"/>
  <c r="U150" i="3"/>
  <c r="J151" i="3" l="1"/>
  <c r="M151" i="3" s="1"/>
  <c r="V151" i="3"/>
  <c r="L151" i="3" l="1"/>
  <c r="I152" i="3"/>
  <c r="T151" i="3"/>
  <c r="U151" i="3" l="1"/>
  <c r="S152" i="3"/>
  <c r="K152" i="3"/>
  <c r="Q151" i="3"/>
  <c r="J152" i="3" l="1"/>
  <c r="M152" i="3" s="1"/>
  <c r="V152" i="3"/>
  <c r="T152" i="3" l="1"/>
  <c r="Q152" i="3" s="1"/>
  <c r="L152" i="3"/>
  <c r="I153" i="3"/>
  <c r="K153" i="3" l="1"/>
  <c r="V153" i="3" s="1"/>
  <c r="S153" i="3"/>
  <c r="U152" i="3"/>
  <c r="J153" i="3" l="1"/>
  <c r="I154" i="3" s="1"/>
  <c r="T153" i="3" l="1"/>
  <c r="U153" i="3" s="1"/>
  <c r="L153" i="3"/>
  <c r="M153" i="3"/>
  <c r="K154" i="3"/>
  <c r="S154" i="3" l="1"/>
  <c r="Q153" i="3"/>
  <c r="J154" i="3"/>
  <c r="V154" i="3"/>
  <c r="M154" i="3" l="1"/>
  <c r="L154" i="3"/>
  <c r="T154" i="3"/>
  <c r="I155" i="3"/>
  <c r="S155" i="3" l="1"/>
  <c r="U154" i="3"/>
  <c r="K155" i="3"/>
  <c r="Q154" i="3"/>
  <c r="J155" i="3" l="1"/>
  <c r="M155" i="3" s="1"/>
  <c r="V155" i="3"/>
  <c r="T155" i="3" l="1"/>
  <c r="U155" i="3" s="1"/>
  <c r="L155" i="3"/>
  <c r="I156" i="3"/>
  <c r="S156" i="3" l="1"/>
  <c r="Q155" i="3"/>
  <c r="K156" i="3"/>
  <c r="J156" i="3" l="1"/>
  <c r="V156" i="3"/>
  <c r="I157" i="3" l="1"/>
  <c r="L156" i="3"/>
  <c r="T156" i="3"/>
  <c r="M156" i="3"/>
  <c r="S157" i="3" l="1"/>
  <c r="U156" i="3"/>
  <c r="K157" i="3"/>
  <c r="Q156" i="3"/>
  <c r="J157" i="3" l="1"/>
  <c r="L157" i="3" s="1"/>
  <c r="V157" i="3"/>
  <c r="M157" i="3" l="1"/>
  <c r="T157" i="3"/>
  <c r="S158" i="3" s="1"/>
  <c r="I158" i="3"/>
  <c r="Q157" i="3" l="1"/>
  <c r="U157" i="3"/>
  <c r="K158" i="3"/>
  <c r="J158" i="3" l="1"/>
  <c r="L158" i="3" s="1"/>
  <c r="V158" i="3"/>
  <c r="M158" i="3" l="1"/>
  <c r="T158" i="3"/>
  <c r="I159" i="3"/>
  <c r="K159" i="3" l="1"/>
  <c r="U158" i="3"/>
  <c r="S159" i="3"/>
  <c r="Q158" i="3"/>
  <c r="J159" i="3" l="1"/>
  <c r="M159" i="3" s="1"/>
  <c r="V159" i="3"/>
  <c r="T159" i="3" l="1"/>
  <c r="Q159" i="3" s="1"/>
  <c r="L159" i="3"/>
  <c r="I160" i="3"/>
  <c r="K160" i="3" l="1"/>
  <c r="U159" i="3"/>
  <c r="S160" i="3"/>
  <c r="J160" i="3" l="1"/>
  <c r="M160" i="3" s="1"/>
  <c r="V160" i="3"/>
  <c r="L160" i="3" l="1"/>
  <c r="I161" i="3"/>
  <c r="T160" i="3"/>
  <c r="U160" i="3" l="1"/>
  <c r="S161" i="3"/>
  <c r="K161" i="3"/>
  <c r="Q160" i="3"/>
  <c r="J161" i="3" l="1"/>
  <c r="T161" i="3" s="1"/>
  <c r="V161" i="3"/>
  <c r="U161" i="3" l="1"/>
  <c r="Q161" i="3"/>
  <c r="I162" i="3"/>
  <c r="S162" i="3"/>
  <c r="L161" i="3"/>
  <c r="M161" i="3"/>
  <c r="K162" i="3" l="1"/>
  <c r="J162" i="3" l="1"/>
  <c r="L162" i="3" s="1"/>
  <c r="V162" i="3"/>
  <c r="M162" i="3" l="1"/>
  <c r="T162" i="3"/>
  <c r="I163" i="3"/>
  <c r="S163" i="3" l="1"/>
  <c r="U162" i="3"/>
  <c r="Q162" i="3"/>
  <c r="K163" i="3"/>
  <c r="J163" i="3" l="1"/>
  <c r="T163" i="3" s="1"/>
  <c r="V163" i="3"/>
  <c r="U163" i="3" l="1"/>
  <c r="S164" i="3"/>
  <c r="M163" i="3"/>
  <c r="L163" i="3"/>
  <c r="Q163" i="3"/>
  <c r="I164" i="3"/>
  <c r="K164" i="3" l="1"/>
  <c r="J164" i="3" l="1"/>
  <c r="L164" i="3" s="1"/>
  <c r="V164" i="3"/>
  <c r="M164" i="3" l="1"/>
  <c r="T164" i="3"/>
  <c r="Q164" i="3" s="1"/>
  <c r="I165" i="3"/>
  <c r="K165" i="3" l="1"/>
  <c r="U164" i="3"/>
  <c r="S165" i="3"/>
  <c r="J165" i="3" l="1"/>
  <c r="T165" i="3" s="1"/>
  <c r="V165" i="3"/>
  <c r="U165" i="3" l="1"/>
  <c r="S166" i="3"/>
  <c r="L165" i="3"/>
  <c r="Q165" i="3"/>
  <c r="I166" i="3"/>
  <c r="M165" i="3"/>
  <c r="K166" i="3" l="1"/>
  <c r="J166" i="3" l="1"/>
  <c r="V166" i="3"/>
  <c r="T166" i="3" l="1"/>
  <c r="I167" i="3"/>
  <c r="M166" i="3"/>
  <c r="L166" i="3"/>
  <c r="K167" i="3" l="1"/>
  <c r="U166" i="3"/>
  <c r="S167" i="3"/>
  <c r="Q166" i="3"/>
  <c r="J167" i="3" l="1"/>
  <c r="L167" i="3" s="1"/>
  <c r="V167" i="3"/>
  <c r="M167" i="3" l="1"/>
  <c r="T167" i="3"/>
  <c r="Q167" i="3" s="1"/>
  <c r="I168" i="3"/>
  <c r="K168" i="3" l="1"/>
  <c r="U167" i="3"/>
  <c r="S168" i="3"/>
  <c r="J168" i="3" l="1"/>
  <c r="M168" i="3" s="1"/>
  <c r="V168" i="3"/>
  <c r="I169" i="3" l="1"/>
  <c r="L168" i="3"/>
  <c r="T168" i="3"/>
  <c r="U168" i="3" l="1"/>
  <c r="S169" i="3"/>
  <c r="Q168" i="3"/>
  <c r="K169" i="3"/>
  <c r="J169" i="3" l="1"/>
  <c r="L169" i="3" s="1"/>
  <c r="V169" i="3"/>
  <c r="T169" i="3" l="1"/>
  <c r="Q169" i="3" s="1"/>
  <c r="M169" i="3"/>
  <c r="I170" i="3"/>
  <c r="K170" i="3" l="1"/>
  <c r="S170" i="3"/>
  <c r="U169" i="3"/>
  <c r="J170" i="3" l="1"/>
  <c r="T170" i="3" s="1"/>
  <c r="V170" i="3"/>
  <c r="U170" i="3" l="1"/>
  <c r="S171" i="3"/>
  <c r="M170" i="3"/>
  <c r="L170" i="3"/>
  <c r="Q170" i="3"/>
  <c r="I171" i="3"/>
  <c r="K171" i="3" l="1"/>
  <c r="J171" i="3" l="1"/>
  <c r="L171" i="3" s="1"/>
  <c r="V171" i="3"/>
  <c r="M171" i="3" l="1"/>
  <c r="I172" i="3"/>
  <c r="T171" i="3"/>
  <c r="U171" i="3" l="1"/>
  <c r="S172" i="3"/>
  <c r="K172" i="3"/>
  <c r="Q171" i="3"/>
  <c r="J172" i="3" l="1"/>
  <c r="M172" i="3" s="1"/>
  <c r="V172" i="3"/>
  <c r="I173" i="3" l="1"/>
  <c r="L172" i="3"/>
  <c r="T172" i="3"/>
  <c r="U172" i="3" l="1"/>
  <c r="S173" i="3"/>
  <c r="K173" i="3"/>
  <c r="Q172" i="3"/>
  <c r="J173" i="3" l="1"/>
  <c r="V173" i="3"/>
  <c r="I174" i="3" l="1"/>
  <c r="L173" i="3"/>
  <c r="T173" i="3"/>
  <c r="M173" i="3"/>
  <c r="S174" i="3" l="1"/>
  <c r="U173" i="3"/>
  <c r="K174" i="3"/>
  <c r="Q173" i="3"/>
  <c r="J174" i="3" l="1"/>
  <c r="M174" i="3" s="1"/>
  <c r="V174" i="3"/>
  <c r="T174" i="3" l="1"/>
  <c r="U174" i="3" s="1"/>
  <c r="L174" i="3"/>
  <c r="I175" i="3"/>
  <c r="Q174" i="3" l="1"/>
  <c r="S175" i="3"/>
  <c r="K175" i="3"/>
  <c r="J175" i="3" l="1"/>
  <c r="V175" i="3"/>
  <c r="T175" i="3" l="1"/>
  <c r="I176" i="3"/>
  <c r="L175" i="3"/>
  <c r="M175" i="3"/>
  <c r="K176" i="3" l="1"/>
  <c r="U175" i="3"/>
  <c r="S176" i="3"/>
  <c r="Q175" i="3"/>
  <c r="J176" i="3" l="1"/>
  <c r="L176" i="3" s="1"/>
  <c r="V176" i="3"/>
  <c r="M176" i="3" l="1"/>
  <c r="I177" i="3"/>
  <c r="T176" i="3"/>
  <c r="U176" i="3" l="1"/>
  <c r="S177" i="3"/>
  <c r="K177" i="3"/>
  <c r="Q176" i="3"/>
  <c r="J177" i="3" l="1"/>
  <c r="L177" i="3" s="1"/>
  <c r="V177" i="3"/>
  <c r="M177" i="3" l="1"/>
  <c r="T177" i="3"/>
  <c r="S178" i="3" s="1"/>
  <c r="I178" i="3"/>
  <c r="Q177" i="3" l="1"/>
  <c r="U177" i="3"/>
  <c r="K178" i="3"/>
  <c r="J178" i="3" l="1"/>
  <c r="M178" i="3" s="1"/>
  <c r="V178" i="3"/>
  <c r="L178" i="3" l="1"/>
  <c r="T178" i="3"/>
  <c r="I179" i="3"/>
  <c r="K179" i="3" l="1"/>
  <c r="U178" i="3"/>
  <c r="S179" i="3"/>
  <c r="Q178" i="3"/>
  <c r="J179" i="3" l="1"/>
  <c r="L179" i="3" s="1"/>
  <c r="V179" i="3"/>
  <c r="M179" i="3" l="1"/>
  <c r="T179" i="3"/>
  <c r="Q179" i="3" s="1"/>
  <c r="I180" i="3"/>
  <c r="K180" i="3" l="1"/>
  <c r="U179" i="3"/>
  <c r="S180" i="3"/>
  <c r="J180" i="3" l="1"/>
  <c r="M180" i="3" s="1"/>
  <c r="V180" i="3"/>
  <c r="I181" i="3" l="1"/>
  <c r="L180" i="3"/>
  <c r="T180" i="3"/>
  <c r="U180" i="3" l="1"/>
  <c r="S181" i="3"/>
  <c r="K181" i="3"/>
  <c r="Q180" i="3"/>
  <c r="J181" i="3" l="1"/>
  <c r="L181" i="3" s="1"/>
  <c r="V181" i="3"/>
  <c r="T181" i="3" l="1"/>
  <c r="S182" i="3" s="1"/>
  <c r="M181" i="3"/>
  <c r="I182" i="3"/>
  <c r="Q181" i="3" l="1"/>
  <c r="U181" i="3"/>
  <c r="K182" i="3"/>
  <c r="J182" i="3" l="1"/>
  <c r="M182" i="3" s="1"/>
  <c r="V182" i="3"/>
  <c r="L182" i="3" l="1"/>
  <c r="T182" i="3"/>
  <c r="I183" i="3"/>
  <c r="U182" i="3" l="1"/>
  <c r="S183" i="3"/>
  <c r="K183" i="3"/>
  <c r="Q182" i="3"/>
  <c r="J183" i="3" l="1"/>
  <c r="V183" i="3"/>
  <c r="I184" i="3" l="1"/>
  <c r="L183" i="3"/>
  <c r="T183" i="3"/>
  <c r="M183" i="3"/>
  <c r="S184" i="3" l="1"/>
  <c r="U183" i="3"/>
  <c r="K184" i="3"/>
  <c r="Q183" i="3"/>
  <c r="J184" i="3" l="1"/>
  <c r="L184" i="3" s="1"/>
  <c r="V184" i="3"/>
  <c r="M184" i="3" l="1"/>
  <c r="T184" i="3"/>
  <c r="Q184" i="3" s="1"/>
  <c r="I185" i="3"/>
  <c r="K185" i="3" l="1"/>
  <c r="U184" i="3"/>
  <c r="S185" i="3"/>
  <c r="J185" i="3" l="1"/>
  <c r="M185" i="3" s="1"/>
  <c r="V185" i="3"/>
  <c r="T185" i="3" l="1"/>
  <c r="Q185" i="3" s="1"/>
  <c r="L185" i="3"/>
  <c r="I186" i="3"/>
  <c r="K186" i="3" l="1"/>
  <c r="S186" i="3"/>
  <c r="U185" i="3"/>
  <c r="J186" i="3" l="1"/>
  <c r="V186" i="3"/>
  <c r="I187" i="3" l="1"/>
  <c r="L186" i="3"/>
  <c r="T186" i="3"/>
  <c r="Q186" i="3" s="1"/>
  <c r="M186" i="3"/>
  <c r="K187" i="3" l="1"/>
  <c r="U186" i="3"/>
  <c r="S187" i="3"/>
  <c r="J187" i="3" l="1"/>
  <c r="L187" i="3" s="1"/>
  <c r="V187" i="3"/>
  <c r="M187" i="3" l="1"/>
  <c r="I188" i="3"/>
  <c r="T187" i="3"/>
  <c r="U187" i="3" l="1"/>
  <c r="S188" i="3"/>
  <c r="K188" i="3"/>
  <c r="Q187" i="3"/>
  <c r="J188" i="3" l="1"/>
  <c r="V188" i="3"/>
  <c r="I189" i="3" l="1"/>
  <c r="L188" i="3"/>
  <c r="T188" i="3"/>
  <c r="M188" i="3"/>
  <c r="K189" i="3" l="1"/>
  <c r="U188" i="3"/>
  <c r="S189" i="3"/>
  <c r="Q188" i="3"/>
  <c r="J189" i="3" l="1"/>
  <c r="M189" i="3" s="1"/>
  <c r="V189" i="3"/>
  <c r="I190" i="3" l="1"/>
  <c r="L189" i="3"/>
  <c r="T189" i="3"/>
  <c r="U189" i="3" l="1"/>
  <c r="S190" i="3"/>
  <c r="K190" i="3"/>
  <c r="Q189" i="3"/>
  <c r="J190" i="3" l="1"/>
  <c r="T190" i="3" s="1"/>
  <c r="V190" i="3"/>
  <c r="U190" i="3" l="1"/>
  <c r="S191" i="3"/>
  <c r="M190" i="3"/>
  <c r="L190" i="3"/>
  <c r="Q190" i="3"/>
  <c r="I191" i="3"/>
  <c r="K191" i="3" l="1"/>
  <c r="J191" i="3" l="1"/>
  <c r="V191" i="3"/>
  <c r="I192" i="3" l="1"/>
  <c r="T191" i="3"/>
  <c r="Q191" i="3" s="1"/>
  <c r="L191" i="3"/>
  <c r="M191" i="3"/>
  <c r="K192" i="3" l="1"/>
  <c r="S192" i="3"/>
  <c r="U191" i="3"/>
  <c r="J192" i="3" l="1"/>
  <c r="V192" i="3"/>
  <c r="I193" i="3" l="1"/>
  <c r="T192" i="3"/>
  <c r="M192" i="3"/>
  <c r="L192" i="3"/>
  <c r="U192" i="3" l="1"/>
  <c r="S193" i="3"/>
  <c r="Q192" i="3"/>
  <c r="K193" i="3"/>
  <c r="J193" i="3" l="1"/>
  <c r="M193" i="3" s="1"/>
  <c r="V193" i="3"/>
  <c r="T193" i="3" l="1"/>
  <c r="Q193" i="3" s="1"/>
  <c r="L193" i="3"/>
  <c r="I194" i="3"/>
  <c r="K194" i="3" l="1"/>
  <c r="S194" i="3"/>
  <c r="U193" i="3"/>
  <c r="J194" i="3" l="1"/>
  <c r="T194" i="3" s="1"/>
  <c r="V194" i="3"/>
  <c r="S195" i="3" l="1"/>
  <c r="U194" i="3"/>
  <c r="M194" i="3"/>
  <c r="L194" i="3"/>
  <c r="Q194" i="3"/>
  <c r="I195" i="3"/>
  <c r="K195" i="3" l="1"/>
  <c r="J195" i="3" l="1"/>
  <c r="V195" i="3"/>
  <c r="I196" i="3" l="1"/>
  <c r="T195" i="3"/>
  <c r="M195" i="3"/>
  <c r="L195" i="3"/>
  <c r="S196" i="3" l="1"/>
  <c r="U195" i="3"/>
  <c r="K196" i="3"/>
  <c r="Q195" i="3"/>
  <c r="J196" i="3" l="1"/>
  <c r="L196" i="3" s="1"/>
  <c r="V196" i="3"/>
  <c r="M196" i="3" l="1"/>
  <c r="T196" i="3"/>
  <c r="U196" i="3" s="1"/>
  <c r="I197" i="3"/>
  <c r="S197" i="3" l="1"/>
  <c r="Q196" i="3"/>
  <c r="K197" i="3"/>
  <c r="J197" i="3" l="1"/>
  <c r="V197" i="3"/>
  <c r="I198" i="3" l="1"/>
  <c r="T197" i="3"/>
  <c r="M197" i="3"/>
  <c r="L197" i="3"/>
  <c r="S198" i="3" l="1"/>
  <c r="U197" i="3"/>
  <c r="K198" i="3"/>
  <c r="Q197" i="3"/>
  <c r="J198" i="3" l="1"/>
  <c r="L198" i="3" s="1"/>
  <c r="V198" i="3"/>
  <c r="T198" i="3" l="1"/>
  <c r="U198" i="3" s="1"/>
  <c r="M198" i="3"/>
  <c r="I199" i="3"/>
  <c r="Q198" i="3" l="1"/>
  <c r="S199" i="3"/>
  <c r="K199" i="3"/>
  <c r="J199" i="3" l="1"/>
  <c r="M199" i="3" s="1"/>
  <c r="V199" i="3"/>
  <c r="I200" i="3" l="1"/>
  <c r="L199" i="3"/>
  <c r="T199" i="3"/>
  <c r="U199" i="3" l="1"/>
  <c r="S200" i="3"/>
  <c r="K200" i="3"/>
  <c r="Q199" i="3"/>
  <c r="J200" i="3" l="1"/>
  <c r="M200" i="3" s="1"/>
  <c r="V200" i="3"/>
  <c r="T200" i="3" l="1"/>
  <c r="S201" i="3" s="1"/>
  <c r="L200" i="3"/>
  <c r="I201" i="3"/>
  <c r="U200" i="3" l="1"/>
  <c r="Q200" i="3"/>
  <c r="K201" i="3"/>
  <c r="J201" i="3" l="1"/>
  <c r="L201" i="3" s="1"/>
  <c r="V201" i="3"/>
  <c r="M201" i="3" l="1"/>
  <c r="T201" i="3"/>
  <c r="I202" i="3"/>
  <c r="K202" i="3" l="1"/>
  <c r="U201" i="3"/>
  <c r="S202" i="3"/>
  <c r="Q201" i="3"/>
  <c r="J202" i="3" l="1"/>
  <c r="M202" i="3" s="1"/>
  <c r="V202" i="3"/>
  <c r="I203" i="3" l="1"/>
  <c r="L202" i="3"/>
  <c r="T202" i="3"/>
  <c r="U202" i="3" l="1"/>
  <c r="S203" i="3"/>
  <c r="K203" i="3"/>
  <c r="Q202" i="3"/>
  <c r="J203" i="3" l="1"/>
  <c r="L203" i="3" s="1"/>
  <c r="V203" i="3"/>
  <c r="T203" i="3" l="1"/>
  <c r="S204" i="3" s="1"/>
  <c r="M203" i="3"/>
  <c r="I204" i="3"/>
  <c r="Q203" i="3" l="1"/>
  <c r="U203" i="3"/>
  <c r="K204" i="3"/>
  <c r="J204" i="3" l="1"/>
  <c r="M204" i="3" s="1"/>
  <c r="V204" i="3"/>
  <c r="L204" i="3" l="1"/>
  <c r="T204" i="3"/>
  <c r="I205" i="3"/>
  <c r="K205" i="3" l="1"/>
  <c r="U204" i="3"/>
  <c r="S205" i="3"/>
  <c r="Q204" i="3"/>
  <c r="J205" i="3" l="1"/>
  <c r="M205" i="3" s="1"/>
  <c r="V205" i="3"/>
  <c r="L205" i="3" l="1"/>
  <c r="I206" i="3"/>
  <c r="T205" i="3"/>
  <c r="U205" i="3" l="1"/>
  <c r="S206" i="3"/>
  <c r="K206" i="3"/>
  <c r="Q205" i="3"/>
  <c r="J206" i="3" l="1"/>
  <c r="L206" i="3" s="1"/>
  <c r="V206" i="3"/>
  <c r="T206" i="3" l="1"/>
  <c r="S207" i="3" s="1"/>
  <c r="M206" i="3"/>
  <c r="I207" i="3"/>
  <c r="U206" i="3" l="1"/>
  <c r="Q206" i="3"/>
  <c r="K207" i="3"/>
  <c r="J207" i="3" l="1"/>
  <c r="M207" i="3" s="1"/>
  <c r="V207" i="3"/>
  <c r="L207" i="3" l="1"/>
  <c r="T207" i="3"/>
  <c r="I208" i="3"/>
  <c r="K208" i="3" l="1"/>
  <c r="U207" i="3"/>
  <c r="S208" i="3"/>
  <c r="Q207" i="3"/>
  <c r="J208" i="3" l="1"/>
  <c r="L208" i="3" s="1"/>
  <c r="V208" i="3"/>
  <c r="M208" i="3" l="1"/>
  <c r="I209" i="3"/>
  <c r="T208" i="3"/>
  <c r="U208" i="3" l="1"/>
  <c r="S209" i="3"/>
  <c r="K209" i="3"/>
  <c r="Q208" i="3"/>
  <c r="J209" i="3" l="1"/>
  <c r="M209" i="3" s="1"/>
  <c r="V209" i="3"/>
  <c r="L209" i="3" l="1"/>
  <c r="T209" i="3"/>
  <c r="Q209" i="3" s="1"/>
  <c r="I210" i="3"/>
  <c r="K210" i="3" l="1"/>
  <c r="U209" i="3"/>
  <c r="S210" i="3"/>
  <c r="J210" i="3" l="1"/>
  <c r="L210" i="3" s="1"/>
  <c r="V210" i="3"/>
  <c r="I211" i="3" l="1"/>
  <c r="M210" i="3"/>
  <c r="T210" i="3"/>
  <c r="U210" i="3" l="1"/>
  <c r="S211" i="3"/>
  <c r="K211" i="3"/>
  <c r="Q210" i="3"/>
  <c r="J211" i="3" l="1"/>
  <c r="M211" i="3" s="1"/>
  <c r="V211" i="3"/>
  <c r="T211" i="3" l="1"/>
  <c r="S212" i="3" s="1"/>
  <c r="L211" i="3"/>
  <c r="I212" i="3"/>
  <c r="U211" i="3" l="1"/>
  <c r="Q211" i="3"/>
  <c r="K212" i="3"/>
  <c r="J212" i="3" l="1"/>
  <c r="M212" i="3" s="1"/>
  <c r="V212" i="3"/>
  <c r="L212" i="3" l="1"/>
  <c r="T212" i="3"/>
  <c r="Q212" i="3" s="1"/>
  <c r="I213" i="3"/>
  <c r="K213" i="3" l="1"/>
  <c r="U212" i="3"/>
  <c r="S213" i="3"/>
  <c r="J213" i="3" l="1"/>
  <c r="M213" i="3" s="1"/>
  <c r="V213" i="3"/>
  <c r="I214" i="3" l="1"/>
  <c r="L213" i="3"/>
  <c r="T213" i="3"/>
  <c r="U213" i="3" l="1"/>
  <c r="S214" i="3"/>
  <c r="K214" i="3"/>
  <c r="Q213" i="3"/>
  <c r="J214" i="3" l="1"/>
  <c r="L214" i="3" s="1"/>
  <c r="V214" i="3"/>
  <c r="M214" i="3" l="1"/>
  <c r="T214" i="3"/>
  <c r="S215" i="3" s="1"/>
  <c r="I215" i="3"/>
  <c r="Q214" i="3" l="1"/>
  <c r="U214" i="3"/>
  <c r="K215" i="3"/>
  <c r="J215" i="3" l="1"/>
  <c r="M215" i="3" s="1"/>
  <c r="V215" i="3"/>
  <c r="L215" i="3" l="1"/>
  <c r="T215" i="3"/>
  <c r="I216" i="3"/>
  <c r="K216" i="3" l="1"/>
  <c r="U215" i="3"/>
  <c r="S216" i="3"/>
  <c r="Q215" i="3"/>
  <c r="J216" i="3" l="1"/>
  <c r="M216" i="3" s="1"/>
  <c r="V216" i="3"/>
  <c r="L216" i="3" l="1"/>
  <c r="I217" i="3"/>
  <c r="T216" i="3"/>
  <c r="U216" i="3" l="1"/>
  <c r="S217" i="3"/>
  <c r="K217" i="3"/>
  <c r="Q216" i="3"/>
  <c r="J217" i="3" l="1"/>
  <c r="M217" i="3" s="1"/>
  <c r="V217" i="3"/>
  <c r="T217" i="3" l="1"/>
  <c r="U217" i="3" s="1"/>
  <c r="L217" i="3"/>
  <c r="I218" i="3"/>
  <c r="S218" i="3" l="1"/>
  <c r="Q217" i="3"/>
  <c r="K218" i="3"/>
  <c r="J218" i="3" l="1"/>
  <c r="M218" i="3" s="1"/>
  <c r="V218" i="3"/>
  <c r="I219" i="3" l="1"/>
  <c r="T218" i="3"/>
  <c r="L218" i="3"/>
  <c r="S219" i="3" l="1"/>
  <c r="U218" i="3"/>
  <c r="K219" i="3"/>
  <c r="Q218" i="3"/>
  <c r="J219" i="3" l="1"/>
  <c r="M219" i="3" s="1"/>
  <c r="V219" i="3"/>
  <c r="T219" i="3" l="1"/>
  <c r="S220" i="3" s="1"/>
  <c r="L219" i="3"/>
  <c r="I220" i="3"/>
  <c r="Q219" i="3" l="1"/>
  <c r="U219" i="3"/>
  <c r="K220" i="3"/>
  <c r="J220" i="3" l="1"/>
  <c r="M220" i="3" s="1"/>
  <c r="V220" i="3"/>
  <c r="L220" i="3" l="1"/>
  <c r="T220" i="3"/>
  <c r="I221" i="3"/>
  <c r="K221" i="3" l="1"/>
  <c r="U220" i="3"/>
  <c r="S221" i="3"/>
  <c r="Q220" i="3"/>
  <c r="J221" i="3" l="1"/>
  <c r="M221" i="3" s="1"/>
  <c r="V221" i="3"/>
  <c r="I222" i="3" l="1"/>
  <c r="L221" i="3"/>
  <c r="T221" i="3"/>
  <c r="U221" i="3" l="1"/>
  <c r="S222" i="3"/>
  <c r="K222" i="3"/>
  <c r="Q221" i="3"/>
  <c r="J222" i="3" l="1"/>
  <c r="L222" i="3" s="1"/>
  <c r="V222" i="3"/>
  <c r="T222" i="3" l="1"/>
  <c r="U222" i="3" s="1"/>
  <c r="M222" i="3"/>
  <c r="I223" i="3"/>
  <c r="S223" i="3" l="1"/>
  <c r="Q222" i="3"/>
  <c r="K223" i="3"/>
  <c r="J223" i="3" l="1"/>
  <c r="M223" i="3" s="1"/>
  <c r="V223" i="3"/>
  <c r="I224" i="3" l="1"/>
  <c r="L223" i="3"/>
  <c r="T223" i="3"/>
  <c r="U223" i="3" l="1"/>
  <c r="S224" i="3"/>
  <c r="K224" i="3"/>
  <c r="Q223" i="3"/>
  <c r="J224" i="3" l="1"/>
  <c r="L224" i="3" s="1"/>
  <c r="V224" i="3"/>
  <c r="T224" i="3" l="1"/>
  <c r="S225" i="3" s="1"/>
  <c r="M224" i="3"/>
  <c r="I225" i="3"/>
  <c r="U224" i="3" l="1"/>
  <c r="K225" i="3"/>
  <c r="V225" i="3" s="1"/>
  <c r="Q224" i="3"/>
  <c r="J225" i="3"/>
  <c r="M225" i="3" l="1"/>
  <c r="I226" i="3"/>
  <c r="L225" i="3"/>
  <c r="T225" i="3"/>
  <c r="U225" i="3" l="1"/>
  <c r="S226" i="3"/>
  <c r="I227" i="3"/>
  <c r="K226" i="3"/>
  <c r="V226" i="3" s="1"/>
  <c r="Q225" i="3"/>
  <c r="I228" i="3" l="1"/>
  <c r="K227" i="3"/>
  <c r="V227" i="3" s="1"/>
  <c r="L226" i="3"/>
  <c r="M226" i="3"/>
  <c r="T226" i="3"/>
  <c r="Q226" i="3" s="1"/>
  <c r="U226" i="3" l="1"/>
  <c r="S227" i="3"/>
  <c r="I229" i="3"/>
  <c r="K228" i="3"/>
  <c r="V228" i="3" s="1"/>
  <c r="I230" i="3" l="1"/>
  <c r="K229" i="3"/>
  <c r="V229" i="3" s="1"/>
  <c r="L227" i="3"/>
  <c r="M227" i="3"/>
  <c r="T227" i="3"/>
  <c r="Q227" i="3" s="1"/>
  <c r="S228" i="3" l="1"/>
  <c r="T228" i="3" s="1"/>
  <c r="Q228" i="3" s="1"/>
  <c r="U227" i="3"/>
  <c r="I231" i="3"/>
  <c r="K230" i="3"/>
  <c r="V230" i="3" s="1"/>
  <c r="M228" i="3" l="1"/>
  <c r="S229" i="3"/>
  <c r="L229" i="3" s="1"/>
  <c r="L228" i="3"/>
  <c r="I232" i="3"/>
  <c r="K231" i="3"/>
  <c r="V231" i="3" s="1"/>
  <c r="U228" i="3"/>
  <c r="T229" i="3" l="1"/>
  <c r="Q229" i="3" s="1"/>
  <c r="M229" i="3"/>
  <c r="I233" i="3"/>
  <c r="K232" i="3"/>
  <c r="V232" i="3" s="1"/>
  <c r="S230" i="3" l="1"/>
  <c r="T230" i="3" s="1"/>
  <c r="Q230" i="3" s="1"/>
  <c r="U229" i="3"/>
  <c r="I234" i="3"/>
  <c r="K233" i="3"/>
  <c r="V233" i="3" s="1"/>
  <c r="L230" i="3" l="1"/>
  <c r="M230" i="3"/>
  <c r="S231" i="3"/>
  <c r="M231" i="3" s="1"/>
  <c r="U230" i="3"/>
  <c r="I235" i="3"/>
  <c r="K234" i="3"/>
  <c r="V234" i="3" s="1"/>
  <c r="L231" i="3" l="1"/>
  <c r="T231" i="3"/>
  <c r="Q231" i="3" s="1"/>
  <c r="S232" i="3"/>
  <c r="I236" i="3"/>
  <c r="K235" i="3"/>
  <c r="V235" i="3" s="1"/>
  <c r="U231" i="3"/>
  <c r="I237" i="3" l="1"/>
  <c r="K236" i="3"/>
  <c r="V236" i="3" s="1"/>
  <c r="L232" i="3"/>
  <c r="M232" i="3"/>
  <c r="T232" i="3"/>
  <c r="Q232" i="3" s="1"/>
  <c r="U232" i="3" l="1"/>
  <c r="I238" i="3"/>
  <c r="K237" i="3"/>
  <c r="V237" i="3" s="1"/>
  <c r="S233" i="3"/>
  <c r="I239" i="3" l="1"/>
  <c r="K238" i="3"/>
  <c r="V238" i="3" s="1"/>
  <c r="M233" i="3"/>
  <c r="L233" i="3"/>
  <c r="T233" i="3"/>
  <c r="Q233" i="3" s="1"/>
  <c r="U233" i="3" l="1"/>
  <c r="S234" i="3"/>
  <c r="I240" i="3"/>
  <c r="K239" i="3"/>
  <c r="V239" i="3" s="1"/>
  <c r="I241" i="3" l="1"/>
  <c r="K240" i="3"/>
  <c r="V240" i="3" s="1"/>
  <c r="L234" i="3"/>
  <c r="M234" i="3"/>
  <c r="T234" i="3"/>
  <c r="Q234" i="3" s="1"/>
  <c r="S235" i="3" l="1"/>
  <c r="L235" i="3" s="1"/>
  <c r="U234" i="3"/>
  <c r="I242" i="3"/>
  <c r="K241" i="3"/>
  <c r="V241" i="3" s="1"/>
  <c r="T235" i="3" l="1"/>
  <c r="Q235" i="3" s="1"/>
  <c r="M235" i="3"/>
  <c r="I243" i="3"/>
  <c r="K242" i="3"/>
  <c r="V242" i="3" s="1"/>
  <c r="U235" i="3" l="1"/>
  <c r="S236" i="3"/>
  <c r="T236" i="3" s="1"/>
  <c r="Q236" i="3" s="1"/>
  <c r="I244" i="3"/>
  <c r="K243" i="3"/>
  <c r="V243" i="3" s="1"/>
  <c r="L236" i="3" l="1"/>
  <c r="M236" i="3"/>
  <c r="S237" i="3"/>
  <c r="I245" i="3"/>
  <c r="K244" i="3"/>
  <c r="V244" i="3" s="1"/>
  <c r="U236" i="3"/>
  <c r="I246" i="3" l="1"/>
  <c r="K245" i="3"/>
  <c r="V245" i="3" s="1"/>
  <c r="M237" i="3"/>
  <c r="L237" i="3"/>
  <c r="T237" i="3"/>
  <c r="Q237" i="3" s="1"/>
  <c r="S238" i="3" l="1"/>
  <c r="M238" i="3" s="1"/>
  <c r="U237" i="3"/>
  <c r="I247" i="3"/>
  <c r="K246" i="3"/>
  <c r="V246" i="3" s="1"/>
  <c r="L238" i="3" l="1"/>
  <c r="T238" i="3"/>
  <c r="Q238" i="3" s="1"/>
  <c r="I248" i="3"/>
  <c r="K247" i="3"/>
  <c r="V247" i="3" s="1"/>
  <c r="U238" i="3" l="1"/>
  <c r="S239" i="3"/>
  <c r="M239" i="3" s="1"/>
  <c r="I249" i="3"/>
  <c r="K249" i="3" s="1"/>
  <c r="V249" i="3" s="1"/>
  <c r="K248" i="3"/>
  <c r="V248" i="3" s="1"/>
  <c r="T239" i="3" l="1"/>
  <c r="Q239" i="3" s="1"/>
  <c r="L239" i="3"/>
  <c r="U239" i="3" l="1"/>
  <c r="S240" i="3"/>
  <c r="M240" i="3" s="1"/>
  <c r="L240" i="3" l="1"/>
  <c r="T240" i="3"/>
  <c r="Q240" i="3" s="1"/>
  <c r="U240" i="3" l="1"/>
  <c r="S241" i="3"/>
  <c r="T241" i="3" s="1"/>
  <c r="Q241" i="3" s="1"/>
  <c r="M241" i="3" l="1"/>
  <c r="U241" i="3"/>
  <c r="L241" i="3"/>
  <c r="S242" i="3"/>
  <c r="L242" i="3" s="1"/>
  <c r="T242" i="3" l="1"/>
  <c r="Q242" i="3" s="1"/>
  <c r="M242" i="3"/>
  <c r="S243" i="3" l="1"/>
  <c r="L243" i="3" s="1"/>
  <c r="U242" i="3"/>
  <c r="T243" i="3" l="1"/>
  <c r="Q243" i="3" s="1"/>
  <c r="M243" i="3"/>
  <c r="S244" i="3" l="1"/>
  <c r="L244" i="3" s="1"/>
  <c r="U243" i="3"/>
  <c r="T244" i="3" l="1"/>
  <c r="Q244" i="3" s="1"/>
  <c r="M244" i="3"/>
  <c r="S245" i="3" l="1"/>
  <c r="U244" i="3"/>
  <c r="L245" i="3" l="1"/>
  <c r="M245" i="3"/>
  <c r="T245" i="3"/>
  <c r="Q245" i="3" s="1"/>
  <c r="S246" i="3" l="1"/>
  <c r="U245" i="3"/>
  <c r="T246" i="3" l="1"/>
  <c r="Q246" i="3" s="1"/>
  <c r="L246" i="3"/>
  <c r="M246" i="3"/>
  <c r="S247" i="3" l="1"/>
  <c r="U246" i="3"/>
  <c r="L247" i="3" l="1"/>
  <c r="M247" i="3"/>
  <c r="T247" i="3"/>
  <c r="Q247" i="3" s="1"/>
  <c r="U247" i="3" l="1"/>
  <c r="S248" i="3"/>
  <c r="L248" i="3" l="1"/>
  <c r="T248" i="3"/>
  <c r="Q248" i="3" s="1"/>
  <c r="M248" i="3"/>
  <c r="S249" i="3" l="1"/>
  <c r="U248" i="3"/>
  <c r="M249" i="3" l="1"/>
  <c r="D33" i="2" s="1"/>
  <c r="D34" i="2" s="1"/>
  <c r="K13" i="1" s="1"/>
  <c r="L249" i="3"/>
  <c r="D31" i="2" s="1"/>
  <c r="D32" i="2" s="1"/>
  <c r="T249" i="3"/>
  <c r="Q249" i="3" s="1"/>
  <c r="U249" i="3" l="1"/>
</calcChain>
</file>

<file path=xl/sharedStrings.xml><?xml version="1.0" encoding="utf-8"?>
<sst xmlns="http://schemas.openxmlformats.org/spreadsheetml/2006/main" count="334" uniqueCount="220">
  <si>
    <t>REKENTOOL FINANCIELE LASTEN BEDRIJFSKREDIET QREDITS</t>
  </si>
  <si>
    <t>Lening</t>
  </si>
  <si>
    <t>Afsluitkosten</t>
  </si>
  <si>
    <t>Looptijd</t>
  </si>
  <si>
    <t>Eerste aflossing</t>
  </si>
  <si>
    <t>Rente</t>
  </si>
  <si>
    <t>Looptijden</t>
  </si>
  <si>
    <t>BMKB-premie</t>
  </si>
  <si>
    <t>Aflostermijnen</t>
  </si>
  <si>
    <t>Aflossingsbedrag</t>
  </si>
  <si>
    <t>Garantieprovisie</t>
  </si>
  <si>
    <t>Rente per maand</t>
  </si>
  <si>
    <t>Garantiepremie</t>
  </si>
  <si>
    <t>Kredietsoort</t>
  </si>
  <si>
    <t>Microkrediet</t>
  </si>
  <si>
    <t>MKB-krediet</t>
  </si>
  <si>
    <t>Rente per jaar</t>
  </si>
  <si>
    <t>Rentepercentage op jaarbasis*</t>
  </si>
  <si>
    <t>MKB-krediet met staatsgarantie</t>
  </si>
  <si>
    <t>Te betalen per maand:</t>
  </si>
  <si>
    <t>totaal</t>
  </si>
  <si>
    <t>Totaal te betalen rentebedrag</t>
  </si>
  <si>
    <t>* Rente onder voorbehoud van risico en wijzigingen</t>
  </si>
  <si>
    <t>Staatssteun</t>
  </si>
  <si>
    <t>Per maand</t>
  </si>
  <si>
    <t>Contante waarde</t>
  </si>
  <si>
    <t>BMKB Deel</t>
  </si>
  <si>
    <t>BBMKB</t>
  </si>
  <si>
    <t>Lening Qredits</t>
  </si>
  <si>
    <t>Lineair</t>
  </si>
  <si>
    <t>Aflosvariant</t>
  </si>
  <si>
    <t>Annuïteit</t>
  </si>
  <si>
    <t>Ja</t>
  </si>
  <si>
    <t>Nee</t>
  </si>
  <si>
    <t>Garantie</t>
  </si>
  <si>
    <t xml:space="preserve">  mogelijk vanaf € 50.000</t>
  </si>
  <si>
    <t>Kosten rente looptijd:</t>
  </si>
  <si>
    <t>Kosten rente jaar 1:</t>
  </si>
  <si>
    <t>Effectieve rente jaar 1</t>
  </si>
  <si>
    <t>Behandelkosten per jaar</t>
  </si>
  <si>
    <t>Effectieve rente**</t>
  </si>
  <si>
    <t>** Ter indicatie</t>
  </si>
  <si>
    <t>Termijn</t>
  </si>
  <si>
    <t>Periode</t>
  </si>
  <si>
    <t>Nr</t>
  </si>
  <si>
    <t>Vervaldatum</t>
  </si>
  <si>
    <t>Vanaf</t>
  </si>
  <si>
    <t>Tot en met</t>
  </si>
  <si>
    <t>Prorata</t>
  </si>
  <si>
    <t>Grondslag</t>
  </si>
  <si>
    <t>Aflossing</t>
  </si>
  <si>
    <t>Looptijd in maanden</t>
  </si>
  <si>
    <t>Aflosvrije periode</t>
  </si>
  <si>
    <t>Nominale</t>
  </si>
  <si>
    <t>Effectieve</t>
  </si>
  <si>
    <t>Divisor</t>
  </si>
  <si>
    <t>BEREKENING APR VOOR</t>
  </si>
  <si>
    <t>Cashflow</t>
  </si>
  <si>
    <t>EIR zonder kosten</t>
  </si>
  <si>
    <t>APR zonder kosten</t>
  </si>
  <si>
    <t>EIR met kosten</t>
  </si>
  <si>
    <t>APR met kosten</t>
  </si>
  <si>
    <t>Cashflow met kosten</t>
  </si>
  <si>
    <t>Taal</t>
  </si>
  <si>
    <t>Nederlands</t>
  </si>
  <si>
    <t>English</t>
  </si>
  <si>
    <t>Aflossingsmethode</t>
  </si>
  <si>
    <t>Vul een gewenst leningbedrag in</t>
  </si>
  <si>
    <t>Selecteer de looptijd (in jaren)</t>
  </si>
  <si>
    <t>Selecteer de aflosvrije periode (in maanden)</t>
  </si>
  <si>
    <t>Staatsgarantie</t>
  </si>
  <si>
    <t>Uw lening</t>
  </si>
  <si>
    <t>Specificatie</t>
  </si>
  <si>
    <t>Bedrag lening begin maand</t>
  </si>
  <si>
    <t>Kosten rente per maand</t>
  </si>
  <si>
    <t>Aflossing per maand</t>
  </si>
  <si>
    <t>Te betalen per maand</t>
  </si>
  <si>
    <t>Jaar</t>
  </si>
  <si>
    <t>Formalisation fee</t>
  </si>
  <si>
    <t>Gastu di kontrakt</t>
  </si>
  <si>
    <t>Gastos de cierre</t>
  </si>
  <si>
    <t>Gasto di contract</t>
  </si>
  <si>
    <t>Suma di gastu pa luna</t>
  </si>
  <si>
    <t>Monto de gastos mensual</t>
  </si>
  <si>
    <t>Monto a pagar mensualmente</t>
  </si>
  <si>
    <t>Suma pa paga pa luna</t>
  </si>
  <si>
    <t>Amount at the beginning</t>
  </si>
  <si>
    <t>Montante di fiansa na inisio di luna</t>
  </si>
  <si>
    <t>Monto préstamo comienzo mes</t>
  </si>
  <si>
    <t>Suma préstamo pricipio mes</t>
  </si>
  <si>
    <t>Montante fiansa na inicio di luna</t>
  </si>
  <si>
    <t>Monthly interest costs</t>
  </si>
  <si>
    <t>Gastu di interes mensual</t>
  </si>
  <si>
    <t>Gastos de interés por mes</t>
  </si>
  <si>
    <t>Gastos interés mensual</t>
  </si>
  <si>
    <t>Gastonan Interes mensual</t>
  </si>
  <si>
    <t>Monthly redemption</t>
  </si>
  <si>
    <t>Pago mensual</t>
  </si>
  <si>
    <t>Amortización por mes</t>
  </si>
  <si>
    <t>Pagos por mes</t>
  </si>
  <si>
    <t>To be paid per month</t>
  </si>
  <si>
    <t>Suma di pago mensual</t>
  </si>
  <si>
    <t>Por pagar por mes</t>
  </si>
  <si>
    <t>A pagar mensualmente</t>
  </si>
  <si>
    <t xml:space="preserve">Suma mensual </t>
  </si>
  <si>
    <t>Total</t>
  </si>
  <si>
    <t>Selecteer uw land</t>
  </si>
  <si>
    <t>Selecteer uw taal</t>
  </si>
  <si>
    <t>Year</t>
  </si>
  <si>
    <t>Año</t>
  </si>
  <si>
    <t>Aña</t>
  </si>
  <si>
    <t>Nederland</t>
  </si>
  <si>
    <t>Bonaire</t>
  </si>
  <si>
    <t>Aruba</t>
  </si>
  <si>
    <t>Land</t>
  </si>
  <si>
    <t>Papiamentu</t>
  </si>
  <si>
    <t>Papiamento</t>
  </si>
  <si>
    <t>Espanol (Aua)</t>
  </si>
  <si>
    <t>Minimaal</t>
  </si>
  <si>
    <t>Maximaal</t>
  </si>
  <si>
    <t>Behandelkosten</t>
  </si>
  <si>
    <t>Microkrediet Bonaire</t>
  </si>
  <si>
    <t>Microkrediet Aruba</t>
  </si>
  <si>
    <t>N.B. Aan deze opgave kunnen geen rechten worden ontleend. Kijk voor meer informatie op</t>
  </si>
  <si>
    <t>Effective interest rate**</t>
  </si>
  <si>
    <t>Porsentahe di interes effectiva**</t>
  </si>
  <si>
    <t>Porcentaje de intereses effectiva**</t>
  </si>
  <si>
    <t>Interés efectivo**</t>
  </si>
  <si>
    <t>Interes efectivo**</t>
  </si>
  <si>
    <t>CALCULATOR FINANCIAL COSTS BUSINESS LOAN QREDITS</t>
  </si>
  <si>
    <t>Herment di Kalkulashon Gastunan Finansiero Kréditodi Negoshi Qredits</t>
  </si>
  <si>
    <t>Herramienta de Contabilidad Gastos financieros de CRÉDITO Qredits</t>
  </si>
  <si>
    <t>HERRAMIENTA DE CÁLCULO CARGAS FINANCIERAS CREDITO COMERCIAL QREDITS</t>
  </si>
  <si>
    <t>CALCULATOR GASTONAN FINANCIERO FIANSA EMPRESARIAL DI QREDITS</t>
  </si>
  <si>
    <t>Attention. No rights can be derived from this object. For more information visit</t>
  </si>
  <si>
    <t xml:space="preserve"> Niun derechi derivá na e menshon aki. Pa mas informashon, bishita e websait</t>
  </si>
  <si>
    <t>En Este objeto ningún derecho puede ser derivado.  Para obtener más información, visite a</t>
  </si>
  <si>
    <t>Nota: No se pueden derivar derechos de este cometido. Para más información consultar</t>
  </si>
  <si>
    <t>Atencion: Na e declaracion aki no por deriva ningun derecho. Pa mas informacion bay riba</t>
  </si>
  <si>
    <t>Select your country</t>
  </si>
  <si>
    <t>Skohe bo pais</t>
  </si>
  <si>
    <t>Seleccione tu país</t>
  </si>
  <si>
    <t>Seleccione su país</t>
  </si>
  <si>
    <t>Selecta bo pais</t>
  </si>
  <si>
    <t>Fill in a desired loan amount</t>
  </si>
  <si>
    <t>Yena e suma deseá</t>
  </si>
  <si>
    <t>Llenar la cantidad del préstamo deseado</t>
  </si>
  <si>
    <t>Colocar el monto deseado de préstamo</t>
  </si>
  <si>
    <t>Yena un suma cu bo ta desea di fia</t>
  </si>
  <si>
    <t>Select redemption period (of loan term) (in years)</t>
  </si>
  <si>
    <t>Selektá e transkurso (den aña)</t>
  </si>
  <si>
    <t>Seleccione la duración de pago (en años)</t>
  </si>
  <si>
    <t>Seleccione el término (en aňos)</t>
  </si>
  <si>
    <t>Selecta e periodo di pago (den aña)</t>
  </si>
  <si>
    <t>Select the redemption free period (in months)</t>
  </si>
  <si>
    <t>Selektá e tempu di grasia ( den lunanan)</t>
  </si>
  <si>
    <t>Seleccione el período o de gracia (en meses)</t>
  </si>
  <si>
    <t>Selecione el período libre de pago (en meses)</t>
  </si>
  <si>
    <t>Selecta e periodo liber di pago (den luna)</t>
  </si>
  <si>
    <t>Annual interest rate*</t>
  </si>
  <si>
    <t>Tasa de interés anual *</t>
  </si>
  <si>
    <t>* Interés sujeto a riesgos y cambios</t>
  </si>
  <si>
    <t>* Interes suheto na riesgo y cambio</t>
  </si>
  <si>
    <t>Select your language</t>
  </si>
  <si>
    <t>Selektá bo lenga</t>
  </si>
  <si>
    <t>Seleccione su idioma</t>
  </si>
  <si>
    <t>Selecta bo idioma</t>
  </si>
  <si>
    <t>Method of repayment</t>
  </si>
  <si>
    <t>Método di amortisashon</t>
  </si>
  <si>
    <t>Método de pago</t>
  </si>
  <si>
    <t>Metodo di pago</t>
  </si>
  <si>
    <t>Total Interest amount payable</t>
  </si>
  <si>
    <t>Suma di interes total</t>
  </si>
  <si>
    <t>El saldo total de interes a pagar</t>
  </si>
  <si>
    <t>Interés total del importe a pagar</t>
  </si>
  <si>
    <t>Suma total di interes pa paga</t>
  </si>
  <si>
    <t>Government guarantee</t>
  </si>
  <si>
    <t>Estado di garantia</t>
  </si>
  <si>
    <t>Garantía del Estado</t>
  </si>
  <si>
    <t>Garantia di Gobierno</t>
  </si>
  <si>
    <t>Government aid</t>
  </si>
  <si>
    <t>Estado di sosten</t>
  </si>
  <si>
    <t>Ayuda estatal</t>
  </si>
  <si>
    <t>Apoyo del Estado</t>
  </si>
  <si>
    <t>Sosten di Gobierno</t>
  </si>
  <si>
    <t>Garantia di prima</t>
  </si>
  <si>
    <t>Garantía de prima</t>
  </si>
  <si>
    <t>Garantía de primera calidad</t>
  </si>
  <si>
    <t>Prima di Garantia</t>
  </si>
  <si>
    <t>Na indikashon</t>
  </si>
  <si>
    <t>** Como una indicación</t>
  </si>
  <si>
    <t>** Como indicacion</t>
  </si>
  <si>
    <t>Your loan</t>
  </si>
  <si>
    <t>Bo fiansa</t>
  </si>
  <si>
    <t>Su prestamo</t>
  </si>
  <si>
    <t>Su préstamo</t>
  </si>
  <si>
    <t xml:space="preserve">Specification </t>
  </si>
  <si>
    <t>Spesifikashon</t>
  </si>
  <si>
    <t>Especificación</t>
  </si>
  <si>
    <t>Specificacion</t>
  </si>
  <si>
    <t>* Interés sujeta a riesgos y cambios</t>
  </si>
  <si>
    <t>* Interes reservá bou di riesgo I modifikashon</t>
  </si>
  <si>
    <t>* Interest rate subject to risks and changes</t>
  </si>
  <si>
    <t>Interes anual *</t>
  </si>
  <si>
    <t>Porcentahe di Interes riba base anual *</t>
  </si>
  <si>
    <t xml:space="preserve">  starting from € 50,000</t>
  </si>
  <si>
    <t xml:space="preserve">  posiblemente desde $50.000 / Posiblemente te ku </t>
  </si>
  <si>
    <t xml:space="preserve">  possible desde $50.000 / Possible asta </t>
  </si>
  <si>
    <t xml:space="preserve">  a partir de 50.000 €</t>
  </si>
  <si>
    <t xml:space="preserve">  posibelmente for di € 50.000</t>
  </si>
  <si>
    <t>Guarantee premium</t>
  </si>
  <si>
    <t>** As indication</t>
  </si>
  <si>
    <t>St.Maarten</t>
  </si>
  <si>
    <t>Microkrediet St. Maarten</t>
  </si>
  <si>
    <t>GracePeriod</t>
  </si>
  <si>
    <t>Curacao</t>
  </si>
  <si>
    <t>Espanol</t>
  </si>
  <si>
    <t>Microkrediet Curacao</t>
  </si>
  <si>
    <t>Rente NL</t>
  </si>
  <si>
    <t>Rente Caribbean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</si>
</sst>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&quot;€ &quot;#,##0_-"/>
    <numFmt numFmtId="165" formatCode="_-&quot;€ &quot;* #,##0.00_-;_-&quot;€ &quot;* #,##0.00\-;_-&quot;€ &quot;* \-??_-;_-@_-"/>
    <numFmt numFmtId="166" formatCode="#,##0_ ;[Red]\-#,##0\ "/>
    <numFmt numFmtId="167" formatCode="#,##0.000000_ ;[Red]\-#,##0.000000\ "/>
    <numFmt numFmtId="168" formatCode="0.00000%"/>
    <numFmt numFmtId="169" formatCode="&quot;€&quot;\ #,##0.00000;[Red]&quot;€&quot;\ \-#,##0.00000"/>
  </numFmts>
  <fonts count="22" x14ac:knownFonts="1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6"/>
      <color rgb="FF232572"/>
      <name val="Calibri"/>
      <family val="2"/>
      <scheme val="minor"/>
    </font>
    <font>
      <sz val="11"/>
      <color rgb="FF232572"/>
      <name val="Calibri"/>
      <family val="2"/>
      <scheme val="minor"/>
    </font>
    <font>
      <b/>
      <sz val="11"/>
      <color rgb="FF666666"/>
      <name val="Calibri"/>
      <family val="2"/>
      <scheme val="minor"/>
    </font>
    <font>
      <i/>
      <sz val="11"/>
      <color rgb="FFFF6600"/>
      <name val="Calibri"/>
      <family val="2"/>
      <scheme val="minor"/>
    </font>
    <font>
      <b/>
      <sz val="10"/>
      <color rgb="FF232572"/>
      <name val="Calibri"/>
      <family val="2"/>
      <scheme val="minor"/>
    </font>
    <font>
      <sz val="10"/>
      <color rgb="FF232572"/>
      <name val="Calibri"/>
      <family val="2"/>
      <scheme val="minor"/>
    </font>
    <font>
      <b/>
      <sz val="12"/>
      <color rgb="FF23257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232572"/>
      <name val="Calibri"/>
      <family val="2"/>
      <scheme val="minor"/>
    </font>
    <font>
      <b/>
      <i/>
      <sz val="10"/>
      <color rgb="FF666666"/>
      <name val="Calibri"/>
      <family val="2"/>
      <scheme val="minor"/>
    </font>
    <font>
      <b/>
      <sz val="16"/>
      <color rgb="FF232572"/>
      <name val="Calibri"/>
      <family val="2"/>
      <scheme val="minor"/>
    </font>
    <font>
      <b/>
      <sz val="11"/>
      <color rgb="FFFF660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i/>
      <sz val="10"/>
      <color rgb="FFFF66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9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0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/>
        <bgColor indexed="62"/>
      </patternFill>
    </fill>
    <fill>
      <patternFill patternType="solid">
        <fgColor rgb="FF232572"/>
        <bgColor indexed="6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9C9EE0"/>
      </top>
      <bottom style="thin">
        <color rgb="FF9C9EE0"/>
      </bottom>
      <diagonal/>
    </border>
    <border>
      <left/>
      <right/>
      <top/>
      <bottom style="double">
        <color rgb="FF9C9EE0"/>
      </bottom>
      <diagonal/>
    </border>
    <border>
      <left/>
      <right/>
      <top/>
      <bottom style="thin">
        <color rgb="FF9C9EE0"/>
      </bottom>
      <diagonal/>
    </border>
  </borders>
  <cellStyleXfs count="4">
    <xf numFmtId="0" fontId="0" fillId="0" borderId="0"/>
    <xf numFmtId="0" fontId="4" fillId="0" borderId="0" applyFill="0" applyBorder="0" applyAlignment="0" applyProtection="0"/>
    <xf numFmtId="9" fontId="1" fillId="0" borderId="0" applyFill="0" applyBorder="0" applyAlignment="0" applyProtection="0"/>
    <xf numFmtId="0" fontId="19" fillId="0" borderId="0"/>
  </cellStyleXfs>
  <cellXfs count="79">
    <xf numFmtId="0" fontId="0" fillId="0" borderId="0" xfId="0"/>
    <xf numFmtId="0" fontId="2" fillId="0" borderId="0" xfId="0" applyFont="1"/>
    <xf numFmtId="0" fontId="3" fillId="2" borderId="0" xfId="0" applyFont="1" applyFill="1"/>
    <xf numFmtId="0" fontId="3" fillId="0" borderId="0" xfId="0" applyFont="1"/>
    <xf numFmtId="10" fontId="3" fillId="2" borderId="0" xfId="0" applyNumberFormat="1" applyFont="1" applyFill="1"/>
    <xf numFmtId="0" fontId="5" fillId="0" borderId="0" xfId="0" applyFont="1"/>
    <xf numFmtId="0" fontId="0" fillId="4" borderId="0" xfId="0" applyFill="1"/>
    <xf numFmtId="3" fontId="3" fillId="5" borderId="0" xfId="0" applyNumberFormat="1" applyFont="1" applyFill="1"/>
    <xf numFmtId="10" fontId="3" fillId="5" borderId="0" xfId="0" applyNumberFormat="1" applyFont="1" applyFill="1"/>
    <xf numFmtId="0" fontId="7" fillId="3" borderId="0" xfId="0" applyFont="1" applyFill="1"/>
    <xf numFmtId="0" fontId="7" fillId="0" borderId="0" xfId="0" applyFont="1"/>
    <xf numFmtId="0" fontId="8" fillId="0" borderId="0" xfId="0" applyFont="1"/>
    <xf numFmtId="0" fontId="9" fillId="3" borderId="0" xfId="0" applyFont="1" applyFill="1"/>
    <xf numFmtId="0" fontId="8" fillId="3" borderId="0" xfId="0" applyFont="1" applyFill="1"/>
    <xf numFmtId="0" fontId="10" fillId="3" borderId="0" xfId="0" applyFont="1" applyFill="1" applyAlignment="1">
      <alignment horizontal="right"/>
    </xf>
    <xf numFmtId="0" fontId="11" fillId="3" borderId="0" xfId="0" applyFont="1" applyFill="1" applyAlignment="1">
      <alignment horizontal="center"/>
    </xf>
    <xf numFmtId="165" fontId="12" fillId="3" borderId="0" xfId="1" applyNumberFormat="1" applyFont="1" applyFill="1" applyBorder="1" applyAlignment="1" applyProtection="1"/>
    <xf numFmtId="165" fontId="11" fillId="3" borderId="0" xfId="1" applyNumberFormat="1" applyFont="1" applyFill="1" applyBorder="1" applyAlignment="1" applyProtection="1"/>
    <xf numFmtId="0" fontId="6" fillId="8" borderId="0" xfId="0" applyFont="1" applyFill="1" applyAlignment="1">
      <alignment horizontal="left" vertical="center"/>
    </xf>
    <xf numFmtId="0" fontId="14" fillId="8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right" wrapText="1"/>
    </xf>
    <xf numFmtId="0" fontId="16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right" wrapText="1"/>
    </xf>
    <xf numFmtId="0" fontId="12" fillId="0" borderId="0" xfId="0" applyFont="1"/>
    <xf numFmtId="0" fontId="12" fillId="3" borderId="0" xfId="0" applyFont="1" applyFill="1" applyAlignment="1">
      <alignment horizontal="right"/>
    </xf>
    <xf numFmtId="165" fontId="12" fillId="3" borderId="0" xfId="0" applyNumberFormat="1" applyFont="1" applyFill="1"/>
    <xf numFmtId="0" fontId="12" fillId="3" borderId="0" xfId="0" applyFont="1" applyFill="1"/>
    <xf numFmtId="0" fontId="11" fillId="3" borderId="0" xfId="0" applyFont="1" applyFill="1" applyAlignment="1">
      <alignment horizontal="right" wrapText="1"/>
    </xf>
    <xf numFmtId="0" fontId="17" fillId="3" borderId="0" xfId="0" applyFont="1" applyFill="1"/>
    <xf numFmtId="0" fontId="10" fillId="3" borderId="0" xfId="0" applyFont="1" applyFill="1" applyAlignment="1">
      <alignment horizontal="left"/>
    </xf>
    <xf numFmtId="10" fontId="9" fillId="7" borderId="0" xfId="0" applyNumberFormat="1" applyFont="1" applyFill="1" applyAlignment="1">
      <alignment horizontal="center"/>
    </xf>
    <xf numFmtId="0" fontId="9" fillId="7" borderId="0" xfId="0" applyFont="1" applyFill="1" applyAlignment="1">
      <alignment horizontal="right"/>
    </xf>
    <xf numFmtId="0" fontId="18" fillId="7" borderId="0" xfId="0" applyFont="1" applyFill="1" applyAlignment="1">
      <alignment horizontal="right"/>
    </xf>
    <xf numFmtId="0" fontId="15" fillId="7" borderId="1" xfId="0" applyFont="1" applyFill="1" applyBorder="1" applyAlignment="1">
      <alignment horizontal="left" vertical="center"/>
    </xf>
    <xf numFmtId="0" fontId="11" fillId="7" borderId="1" xfId="0" applyFont="1" applyFill="1" applyBorder="1" applyAlignment="1">
      <alignment horizontal="center" vertical="center"/>
    </xf>
    <xf numFmtId="0" fontId="8" fillId="9" borderId="1" xfId="0" applyFont="1" applyFill="1" applyBorder="1"/>
    <xf numFmtId="165" fontId="12" fillId="3" borderId="2" xfId="0" applyNumberFormat="1" applyFont="1" applyFill="1" applyBorder="1"/>
    <xf numFmtId="0" fontId="12" fillId="3" borderId="2" xfId="0" applyFont="1" applyFill="1" applyBorder="1"/>
    <xf numFmtId="0" fontId="12" fillId="0" borderId="2" xfId="0" applyFont="1" applyBorder="1"/>
    <xf numFmtId="165" fontId="12" fillId="3" borderId="2" xfId="1" applyNumberFormat="1" applyFont="1" applyFill="1" applyBorder="1" applyAlignment="1" applyProtection="1"/>
    <xf numFmtId="164" fontId="13" fillId="6" borderId="3" xfId="0" applyNumberFormat="1" applyFont="1" applyFill="1" applyBorder="1" applyAlignment="1" applyProtection="1">
      <alignment horizontal="center"/>
      <protection locked="0"/>
    </xf>
    <xf numFmtId="3" fontId="13" fillId="6" borderId="3" xfId="0" applyNumberFormat="1" applyFont="1" applyFill="1" applyBorder="1" applyAlignment="1" applyProtection="1">
      <alignment horizontal="center"/>
      <protection locked="0"/>
    </xf>
    <xf numFmtId="0" fontId="13" fillId="6" borderId="3" xfId="0" applyFont="1" applyFill="1" applyBorder="1" applyAlignment="1" applyProtection="1">
      <alignment horizontal="center"/>
      <protection locked="0"/>
    </xf>
    <xf numFmtId="10" fontId="9" fillId="7" borderId="3" xfId="0" applyNumberFormat="1" applyFont="1" applyFill="1" applyBorder="1" applyAlignment="1">
      <alignment horizontal="center"/>
    </xf>
    <xf numFmtId="4" fontId="3" fillId="5" borderId="0" xfId="0" applyNumberFormat="1" applyFont="1" applyFill="1"/>
    <xf numFmtId="4" fontId="0" fillId="0" borderId="0" xfId="0" applyNumberFormat="1"/>
    <xf numFmtId="10" fontId="0" fillId="10" borderId="0" xfId="2" applyNumberFormat="1" applyFont="1" applyFill="1"/>
    <xf numFmtId="165" fontId="8" fillId="0" borderId="0" xfId="0" applyNumberFormat="1" applyFont="1"/>
    <xf numFmtId="0" fontId="19" fillId="0" borderId="0" xfId="3"/>
    <xf numFmtId="0" fontId="19" fillId="12" borderId="0" xfId="3" applyFill="1"/>
    <xf numFmtId="0" fontId="19" fillId="12" borderId="0" xfId="3" applyFill="1" applyAlignment="1">
      <alignment horizontal="center" vertical="center" wrapText="1"/>
    </xf>
    <xf numFmtId="0" fontId="19" fillId="13" borderId="0" xfId="3" applyFill="1" applyAlignment="1">
      <alignment horizontal="center" vertical="center" wrapText="1"/>
    </xf>
    <xf numFmtId="0" fontId="19" fillId="0" borderId="0" xfId="3" applyAlignment="1">
      <alignment horizontal="center" vertical="center" wrapText="1"/>
    </xf>
    <xf numFmtId="0" fontId="19" fillId="12" borderId="0" xfId="3" applyFill="1" applyAlignment="1">
      <alignment horizontal="center" vertical="center"/>
    </xf>
    <xf numFmtId="166" fontId="19" fillId="0" borderId="0" xfId="3" applyNumberFormat="1" applyAlignment="1">
      <alignment horizontal="center" vertical="center"/>
    </xf>
    <xf numFmtId="14" fontId="19" fillId="0" borderId="0" xfId="3" applyNumberFormat="1" applyAlignment="1">
      <alignment horizontal="center" vertical="center"/>
    </xf>
    <xf numFmtId="167" fontId="19" fillId="0" borderId="0" xfId="3" applyNumberFormat="1" applyAlignment="1">
      <alignment horizontal="right" vertical="center"/>
    </xf>
    <xf numFmtId="0" fontId="19" fillId="12" borderId="0" xfId="3" applyFill="1" applyAlignment="1">
      <alignment horizontal="right" vertical="center"/>
    </xf>
    <xf numFmtId="8" fontId="19" fillId="0" borderId="0" xfId="3" applyNumberFormat="1" applyAlignment="1">
      <alignment horizontal="right" vertical="center"/>
    </xf>
    <xf numFmtId="0" fontId="19" fillId="0" borderId="0" xfId="3" applyAlignment="1">
      <alignment horizontal="center" vertical="center"/>
    </xf>
    <xf numFmtId="168" fontId="19" fillId="0" borderId="0" xfId="3" applyNumberFormat="1" applyAlignment="1">
      <alignment horizontal="right" vertical="center"/>
    </xf>
    <xf numFmtId="8" fontId="19" fillId="0" borderId="0" xfId="3" applyNumberFormat="1" applyAlignment="1">
      <alignment horizontal="center" vertical="center"/>
    </xf>
    <xf numFmtId="169" fontId="19" fillId="0" borderId="0" xfId="3" applyNumberFormat="1" applyAlignment="1">
      <alignment horizontal="center" vertical="center"/>
    </xf>
    <xf numFmtId="10" fontId="0" fillId="0" borderId="0" xfId="0" applyNumberFormat="1"/>
    <xf numFmtId="168" fontId="19" fillId="0" borderId="0" xfId="3" applyNumberFormat="1" applyAlignment="1">
      <alignment horizontal="center" vertical="center"/>
    </xf>
    <xf numFmtId="10" fontId="19" fillId="0" borderId="0" xfId="3" applyNumberFormat="1" applyAlignment="1">
      <alignment horizontal="center" vertical="center"/>
    </xf>
    <xf numFmtId="0" fontId="17" fillId="3" borderId="3" xfId="0" applyFont="1" applyFill="1" applyBorder="1"/>
    <xf numFmtId="0" fontId="20" fillId="4" borderId="0" xfId="0" applyFont="1" applyFill="1"/>
    <xf numFmtId="10" fontId="20" fillId="4" borderId="0" xfId="0" applyNumberFormat="1" applyFont="1" applyFill="1"/>
    <xf numFmtId="0" fontId="0" fillId="0" borderId="0" xfId="0" applyAlignment="1">
      <alignment vertical="top" wrapText="1"/>
    </xf>
    <xf numFmtId="0" fontId="0" fillId="9" borderId="0" xfId="0" applyFill="1"/>
    <xf numFmtId="44" fontId="9" fillId="7" borderId="3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0" fontId="0" fillId="4" borderId="0" xfId="0" applyNumberFormat="1" applyFill="1"/>
    <xf numFmtId="0" fontId="21" fillId="3" borderId="0" xfId="0" applyFont="1" applyFill="1" applyAlignment="1">
      <alignment horizontal="center" vertical="top"/>
    </xf>
    <xf numFmtId="0" fontId="13" fillId="6" borderId="3" xfId="0" applyFont="1" applyFill="1" applyBorder="1" applyAlignment="1" applyProtection="1">
      <alignment horizontal="center"/>
      <protection locked="0"/>
    </xf>
    <xf numFmtId="0" fontId="19" fillId="11" borderId="0" xfId="3" applyFill="1" applyAlignment="1">
      <alignment horizontal="center" vertical="center"/>
    </xf>
    <xf numFmtId="0" fontId="19" fillId="13" borderId="0" xfId="3" applyFill="1" applyAlignment="1">
      <alignment horizontal="center" vertical="center" wrapText="1"/>
    </xf>
    <xf numFmtId="10" fontId="13" fillId="6" borderId="3" xfId="0" applyNumberFormat="1" applyFont="1" applyFill="1" applyBorder="1" applyAlignment="1" applyProtection="1">
      <alignment horizontal="center"/>
    </xf>
  </cellXfs>
  <cellStyles count="4">
    <cellStyle name="Euro" xfId="1" xr:uid="{00000000-0005-0000-0000-000000000000}"/>
    <cellStyle name="Procent" xfId="2" builtinId="5"/>
    <cellStyle name="Standaard" xfId="0" builtinId="0"/>
    <cellStyle name="Standaard 2" xfId="3" xr:uid="{00000000-0005-0000-0000-000003000000}"/>
  </cellStyles>
  <dxfs count="12">
    <dxf>
      <font>
        <color theme="0"/>
      </font>
      <fill>
        <patternFill>
          <f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numFmt numFmtId="176" formatCode="_-[$$-2409]* #,##0.00_-;\-[$$-2409]* #,##0.00_-;_-[$$-2409]* &quot;-&quot;??_-;_-@_-"/>
    </dxf>
    <dxf>
      <numFmt numFmtId="173" formatCode="_ [$Afl.]\ * #,##0.00_ ;_ [$Afl.]\ * \-#,##0.00_ ;_ [$Afl.]\ * &quot;-&quot;??_ ;_ @_ "/>
    </dxf>
    <dxf>
      <numFmt numFmtId="174" formatCode="_-[$$-1409]* #,##0.00_-;\-[$$-1409]* #,##0.00_-;_-[$$-1409]* &quot;-&quot;??_-;_-@_-"/>
    </dxf>
    <dxf>
      <numFmt numFmtId="175" formatCode="_ [$NAf.]\ * #,##0.00_ ;_ [$NAf.]\ * \-#,##0.00_ ;_ [$NAf.]\ * &quot;-&quot;??_ ;_ @_ "/>
    </dxf>
    <dxf>
      <numFmt numFmtId="170" formatCode="_-[$$-2409]* #,##0_-;\-[$$-2409]* #,##0_-;_-[$$-2409]* &quot;-&quot;_-;_-@_-"/>
    </dxf>
    <dxf>
      <numFmt numFmtId="171" formatCode="_ [$Afl.]\ * #,##0_ ;_ [$Afl.]\ * \-#,##0_ ;_ [$Afl.]\ * &quot;-&quot;_ ;_ @_ "/>
    </dxf>
    <dxf>
      <numFmt numFmtId="170" formatCode="_-[$$-2409]* #,##0_-;\-[$$-2409]* #,##0_-;_-[$$-2409]* &quot;-&quot;_-;_-@_-"/>
    </dxf>
    <dxf>
      <numFmt numFmtId="172" formatCode="_ [$NAf.]\ * #,##0_ ;_ [$NAf.]\ * \-#,##0_ ;_ [$NAf.]\ * &quot;-&quot;_ ;_ @_ "/>
    </dxf>
  </dxfs>
  <tableStyles count="0" defaultTableStyle="TableStyleMedium2" defaultPivotStyle="PivotStyleLight16"/>
  <colors>
    <mruColors>
      <color rgb="FFFF6600"/>
      <color rgb="FF9C9EE0"/>
      <color rgb="FF2325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600075</xdr:colOff>
      <xdr:row>0</xdr:row>
      <xdr:rowOff>209550</xdr:rowOff>
    </xdr:from>
    <xdr:to>
      <xdr:col>14</xdr:col>
      <xdr:colOff>903375</xdr:colOff>
      <xdr:row>6</xdr:row>
      <xdr:rowOff>246150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58A21DF-32DE-44DE-B5A5-1D6955215B41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96800" y="209550"/>
          <a:ext cx="1332000" cy="133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R201"/>
  <sheetViews>
    <sheetView showGridLines="0" tabSelected="1" zoomScaleNormal="100" workbookViewId="0">
      <pane ySplit="17" topLeftCell="A18" activePane="bottomLeft" state="frozen"/>
      <selection pane="bottomLeft" activeCell="C7" sqref="C7"/>
    </sheetView>
  </sheetViews>
  <sheetFormatPr defaultRowHeight="15" x14ac:dyDescent="0.25"/>
  <cols>
    <col min="1" max="1" width="27.5703125" style="11" customWidth="1"/>
    <col min="2" max="6" width="13.7109375" style="11" customWidth="1"/>
    <col min="7" max="7" width="14.5703125" style="11" bestFit="1" customWidth="1"/>
    <col min="8" max="13" width="13.7109375" style="11" customWidth="1"/>
    <col min="14" max="14" width="1.7109375" style="11" customWidth="1"/>
    <col min="15" max="15" width="13.85546875" style="11" bestFit="1" customWidth="1"/>
    <col min="16" max="16" width="13.140625" style="11" bestFit="1" customWidth="1"/>
    <col min="17" max="17" width="9.140625" style="11" customWidth="1"/>
    <col min="18" max="18" width="9.7109375" style="11" bestFit="1" customWidth="1"/>
    <col min="19" max="22" width="9.140625" style="11"/>
    <col min="23" max="23" width="11.42578125" style="11" bestFit="1" customWidth="1"/>
    <col min="24" max="16384" width="9.140625" style="11"/>
  </cols>
  <sheetData>
    <row r="1" spans="1:18" s="10" customFormat="1" ht="21" x14ac:dyDescent="0.35">
      <c r="A1" s="28" t="str">
        <f>Vertaling!B2</f>
        <v>REKENTOOL FINANCIELE LASTEN BEDRIJFSKREDIET QREDITS</v>
      </c>
      <c r="B1" s="28"/>
      <c r="C1" s="28"/>
      <c r="D1" s="28"/>
      <c r="E1" s="9"/>
      <c r="F1" s="9"/>
      <c r="G1" s="9"/>
      <c r="H1" s="9"/>
      <c r="I1" s="9"/>
      <c r="J1" s="9"/>
      <c r="K1" s="9"/>
      <c r="L1" s="9"/>
      <c r="M1" s="9"/>
      <c r="O1" s="9"/>
      <c r="P1" s="11"/>
      <c r="Q1" s="11"/>
      <c r="R1" s="11"/>
    </row>
    <row r="2" spans="1:18" x14ac:dyDescent="0.25">
      <c r="A2" s="12" t="str">
        <f>Vertaling!B3</f>
        <v>N.B. Aan deze opgave kunnen geen rechten worden ontleend. Kijk voor meer informatie op</v>
      </c>
      <c r="B2" s="13"/>
      <c r="C2" s="13"/>
      <c r="D2" s="13"/>
      <c r="E2" s="13"/>
      <c r="F2" s="12" t="str">
        <f>IF(C4=dropdown!O2,"www.qredits.nl",IF(C4= "St.Maarten",IF(G4="English","stmaarten-en","stmaarten-nl"),C4)&amp;".qredits.com")</f>
        <v>www.qredits.nl</v>
      </c>
      <c r="G2" s="13"/>
      <c r="H2" s="13"/>
      <c r="I2" s="13"/>
      <c r="J2" s="13"/>
      <c r="K2" s="13"/>
      <c r="L2" s="13"/>
      <c r="M2" s="13"/>
      <c r="O2" s="13"/>
    </row>
    <row r="3" spans="1:18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O3" s="13"/>
    </row>
    <row r="4" spans="1:18" ht="21" customHeight="1" x14ac:dyDescent="0.25">
      <c r="A4" s="31"/>
      <c r="B4" s="14" t="str">
        <f>Vertaling!B4</f>
        <v>Selecteer uw land</v>
      </c>
      <c r="C4" s="75" t="s">
        <v>111</v>
      </c>
      <c r="D4" s="75"/>
      <c r="F4" s="14" t="str">
        <f>Vertaling!B10</f>
        <v>Selecteer uw taal</v>
      </c>
      <c r="G4" s="75" t="s">
        <v>64</v>
      </c>
      <c r="H4" s="75"/>
      <c r="I4" s="13"/>
      <c r="J4" s="13"/>
      <c r="K4" s="13"/>
      <c r="L4" s="13"/>
      <c r="M4" s="13"/>
      <c r="O4" s="13"/>
    </row>
    <row r="5" spans="1:18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O5" s="13"/>
    </row>
    <row r="6" spans="1:18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O6" s="13"/>
    </row>
    <row r="7" spans="1:18" ht="24.95" customHeight="1" x14ac:dyDescent="0.25">
      <c r="B7" s="14" t="str">
        <f>Vertaling!B5</f>
        <v>Vul een gewenst leningbedrag in</v>
      </c>
      <c r="C7" s="40"/>
      <c r="D7" s="29" t="str">
        <f>IF(C7&gt;dropdown!O9,"Max "&amp;dropdown!O9,"")</f>
        <v/>
      </c>
      <c r="F7" s="31" t="str">
        <f>Vertaling!B11</f>
        <v>Aflossingsmethode</v>
      </c>
      <c r="G7" s="42" t="s">
        <v>31</v>
      </c>
      <c r="J7" s="14" t="str">
        <f>Vertaling!B15</f>
        <v>Staatsgarantie</v>
      </c>
      <c r="K7" s="42" t="s">
        <v>33</v>
      </c>
      <c r="L7" s="29" t="str">
        <f>Vertaling!B20</f>
        <v xml:space="preserve">  mogelijk vanaf € 50.000</v>
      </c>
      <c r="M7" s="15"/>
      <c r="O7" s="15"/>
    </row>
    <row r="8" spans="1:18" ht="9" customHeight="1" x14ac:dyDescent="0.25">
      <c r="L8" s="15"/>
      <c r="M8" s="15"/>
      <c r="O8" s="15"/>
    </row>
    <row r="9" spans="1:18" ht="24.95" customHeight="1" x14ac:dyDescent="0.25">
      <c r="B9" s="14" t="str">
        <f>Vertaling!B6</f>
        <v>Selecteer de looptijd (in jaren)</v>
      </c>
      <c r="C9" s="41">
        <v>5</v>
      </c>
      <c r="F9" s="31" t="str">
        <f>Vertaling!B12</f>
        <v>Afsluitkosten</v>
      </c>
      <c r="G9" s="71">
        <f>Kosten</f>
        <v>0</v>
      </c>
      <c r="J9" s="31" t="str">
        <f>Vertaling!B16</f>
        <v>Staatssteun</v>
      </c>
      <c r="K9" s="71">
        <f>IF(K7="Ja",Staatssteun2,Staatssteun1)</f>
        <v>0</v>
      </c>
      <c r="L9" s="15"/>
      <c r="M9" s="15"/>
      <c r="O9" s="15"/>
    </row>
    <row r="10" spans="1:18" ht="9" customHeight="1" x14ac:dyDescent="0.25">
      <c r="L10" s="15"/>
      <c r="M10" s="15"/>
      <c r="O10" s="15"/>
    </row>
    <row r="11" spans="1:18" ht="24.95" customHeight="1" x14ac:dyDescent="0.25">
      <c r="B11" s="14" t="str">
        <f>Vertaling!B7</f>
        <v>Selecteer de aflosvrije periode (in maanden)</v>
      </c>
      <c r="C11" s="42">
        <v>3</v>
      </c>
      <c r="D11" s="15"/>
      <c r="F11" s="31" t="str">
        <f>Vertaling!B13</f>
        <v>Bedrag annuïteit</v>
      </c>
      <c r="G11" s="71">
        <f>IF(G7="Annuïteit",Bedrag_annuïteit,Aflossingsbedrag)</f>
        <v>0</v>
      </c>
      <c r="J11" s="31" t="str">
        <f>Vertaling!B17</f>
        <v>Garantiepremie</v>
      </c>
      <c r="K11" s="71">
        <f>Garantie</f>
        <v>0</v>
      </c>
      <c r="L11" s="15"/>
      <c r="M11" s="15"/>
      <c r="O11" s="15"/>
    </row>
    <row r="12" spans="1:18" ht="9" customHeight="1" x14ac:dyDescent="0.25">
      <c r="L12" s="15"/>
      <c r="M12" s="15"/>
      <c r="O12" s="15"/>
    </row>
    <row r="13" spans="1:18" ht="24.95" customHeight="1" x14ac:dyDescent="0.25">
      <c r="B13" s="31" t="str">
        <f>Vertaling!B8</f>
        <v>Rentepercentage op jaarbasis*</v>
      </c>
      <c r="C13" s="78">
        <v>9.9500000000000005E-2</v>
      </c>
      <c r="D13" s="15"/>
      <c r="F13" s="31" t="str">
        <f>Vertaling!B14</f>
        <v>Totaal te betalen rentebedrag</v>
      </c>
      <c r="G13" s="71">
        <f>RenteTotaal</f>
        <v>0</v>
      </c>
      <c r="J13" s="31" t="str">
        <f>Vertaling!B18</f>
        <v>Effectieve rente**</v>
      </c>
      <c r="K13" s="43">
        <f ca="1">APR</f>
        <v>0</v>
      </c>
      <c r="L13" s="15"/>
      <c r="M13" s="15"/>
      <c r="O13" s="15"/>
    </row>
    <row r="14" spans="1:18" ht="24.95" customHeight="1" x14ac:dyDescent="0.25">
      <c r="B14" s="74" t="str">
        <f>IF(AND(C4&lt;&gt;dropdown!P1,C13&lt;&gt;Rente_Car),"Pas het rentepercentage aan.",Vertaling!B9)</f>
        <v>* Rente onder voorbehoud van risico en wijzigingen</v>
      </c>
      <c r="D14" s="15"/>
      <c r="J14" s="21" t="str">
        <f>Vertaling!B19</f>
        <v>** Ter indicatie</v>
      </c>
      <c r="L14" s="15"/>
      <c r="M14" s="15"/>
      <c r="O14" s="15"/>
    </row>
    <row r="15" spans="1:18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O15" s="13"/>
    </row>
    <row r="16" spans="1:18" ht="21" x14ac:dyDescent="0.35">
      <c r="A16" s="31"/>
      <c r="B16" s="31" t="str">
        <f>Vertaling!B21</f>
        <v>Uw lening</v>
      </c>
      <c r="C16" s="66" t="str">
        <f>Lening</f>
        <v>Microkrediet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O16" s="13"/>
    </row>
    <row r="17" spans="1:16" ht="24.95" customHeight="1" x14ac:dyDescent="0.25">
      <c r="A17" s="32" t="str">
        <f>Vertaling!B22</f>
        <v>Specificatie</v>
      </c>
      <c r="B17" s="21"/>
      <c r="D17" s="15"/>
      <c r="K17" s="15"/>
      <c r="L17" s="15"/>
      <c r="M17" s="15"/>
      <c r="O17" s="15"/>
    </row>
    <row r="18" spans="1:16" ht="9" customHeight="1" x14ac:dyDescent="0.25">
      <c r="D18" s="15"/>
      <c r="G18" s="30"/>
      <c r="K18" s="15"/>
      <c r="L18" s="15"/>
      <c r="M18" s="15"/>
      <c r="O18" s="15"/>
    </row>
    <row r="19" spans="1:16" x14ac:dyDescent="0.25">
      <c r="A19" s="33" t="str">
        <f>Vertaling!$B$23&amp;" "&amp;ROUNDUP(B19/12,0)</f>
        <v>Jaar 1</v>
      </c>
      <c r="B19" s="34">
        <v>1</v>
      </c>
      <c r="C19" s="34">
        <v>2</v>
      </c>
      <c r="D19" s="34">
        <v>3</v>
      </c>
      <c r="E19" s="34">
        <v>4</v>
      </c>
      <c r="F19" s="34">
        <v>5</v>
      </c>
      <c r="G19" s="34">
        <v>6</v>
      </c>
      <c r="H19" s="34">
        <v>7</v>
      </c>
      <c r="I19" s="34">
        <v>8</v>
      </c>
      <c r="J19" s="34">
        <v>9</v>
      </c>
      <c r="K19" s="34">
        <v>10</v>
      </c>
      <c r="L19" s="34">
        <v>11</v>
      </c>
      <c r="M19" s="34">
        <v>12</v>
      </c>
      <c r="N19" s="35"/>
      <c r="O19" s="34" t="s">
        <v>20</v>
      </c>
    </row>
    <row r="20" spans="1:16" ht="15" customHeight="1" x14ac:dyDescent="0.25">
      <c r="A20" s="22" t="str">
        <f>Vertaling!$B$24</f>
        <v>Bedrag lening begin maand</v>
      </c>
      <c r="B20" s="17">
        <f>IF(C7&gt;250000,0,IF(AND(Lening=dropdown!$I$8,'Rekentool kredieten'!C9&gt;12),0,C7))</f>
        <v>0</v>
      </c>
      <c r="C20" s="17">
        <f>IF(B20-B23&lt;0.5,0,B20-B23)</f>
        <v>0</v>
      </c>
      <c r="D20" s="17">
        <f t="shared" ref="D20:M20" si="0">IF(C20-C23&lt;0.5,0,C20-C23)</f>
        <v>0</v>
      </c>
      <c r="E20" s="17">
        <f>IF(D20-D23&lt;0.5,0,D20-D23)</f>
        <v>0</v>
      </c>
      <c r="F20" s="17">
        <f>IF(E20-E23&lt;0.5,0,E20-E23)</f>
        <v>0</v>
      </c>
      <c r="G20" s="17">
        <f t="shared" si="0"/>
        <v>0</v>
      </c>
      <c r="H20" s="17">
        <f t="shared" si="0"/>
        <v>0</v>
      </c>
      <c r="I20" s="17">
        <f t="shared" si="0"/>
        <v>0</v>
      </c>
      <c r="J20" s="17">
        <f t="shared" si="0"/>
        <v>0</v>
      </c>
      <c r="K20" s="17">
        <f t="shared" si="0"/>
        <v>0</v>
      </c>
      <c r="L20" s="17">
        <f t="shared" si="0"/>
        <v>0</v>
      </c>
      <c r="M20" s="17">
        <f t="shared" si="0"/>
        <v>0</v>
      </c>
      <c r="N20" s="23"/>
      <c r="O20" s="17">
        <f>M20</f>
        <v>0</v>
      </c>
      <c r="P20" s="47"/>
    </row>
    <row r="21" spans="1:16" ht="15" customHeight="1" x14ac:dyDescent="0.25">
      <c r="A21" s="22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23"/>
      <c r="O21" s="16"/>
    </row>
    <row r="22" spans="1:16" ht="15" customHeight="1" x14ac:dyDescent="0.25">
      <c r="A22" s="22" t="str">
        <f>Vertaling!$B$25</f>
        <v>Kosten rente per maand</v>
      </c>
      <c r="B22" s="16">
        <f>IF(B20&lt;0.001,0,Rentekosten*B20)</f>
        <v>0</v>
      </c>
      <c r="C22" s="16">
        <f t="shared" ref="C22:M22" si="1">IF(C20&lt;0.001,0,Rentekosten*C20)</f>
        <v>0</v>
      </c>
      <c r="D22" s="16">
        <f t="shared" si="1"/>
        <v>0</v>
      </c>
      <c r="E22" s="16">
        <f t="shared" si="1"/>
        <v>0</v>
      </c>
      <c r="F22" s="16">
        <f t="shared" si="1"/>
        <v>0</v>
      </c>
      <c r="G22" s="16">
        <f>IF(G20&lt;0.001,0,Rentekosten*G20)</f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23"/>
      <c r="O22" s="16">
        <f>SUM(B22:M22)</f>
        <v>0</v>
      </c>
    </row>
    <row r="23" spans="1:16" ht="15" customHeight="1" x14ac:dyDescent="0.25">
      <c r="A23" s="22" t="str">
        <f>Vertaling!$B$26</f>
        <v>Aflossing per maand</v>
      </c>
      <c r="B23" s="16">
        <f>IF(B20&lt;0.001,0,IF(B19&lt;$C$11+1,0,IF($G$7="Lineair",Aflossingsbedrag,IF($G$7="Annuïteit",IFERROR($G$11-Rentekosten*(B20),0),0))))</f>
        <v>0</v>
      </c>
      <c r="C23" s="16">
        <f t="shared" ref="C23:M23" si="2">IF(C20&lt;0.001,0,IF(C19&lt;$C$11+1,0,IF($G$7="Lineair",Aflossingsbedrag,IF($G$7="Annuïteit",IFERROR($G$11-Rentekosten*(C20),0),0))))</f>
        <v>0</v>
      </c>
      <c r="D23" s="16">
        <f t="shared" si="2"/>
        <v>0</v>
      </c>
      <c r="E23" s="16">
        <f t="shared" si="2"/>
        <v>0</v>
      </c>
      <c r="F23" s="16">
        <f t="shared" si="2"/>
        <v>0</v>
      </c>
      <c r="G23" s="16">
        <f t="shared" si="2"/>
        <v>0</v>
      </c>
      <c r="H23" s="16">
        <f t="shared" si="2"/>
        <v>0</v>
      </c>
      <c r="I23" s="16">
        <f t="shared" si="2"/>
        <v>0</v>
      </c>
      <c r="J23" s="16">
        <f t="shared" si="2"/>
        <v>0</v>
      </c>
      <c r="K23" s="16">
        <f t="shared" si="2"/>
        <v>0</v>
      </c>
      <c r="L23" s="16">
        <f t="shared" si="2"/>
        <v>0</v>
      </c>
      <c r="M23" s="16">
        <f t="shared" si="2"/>
        <v>0</v>
      </c>
      <c r="N23" s="23"/>
      <c r="O23" s="16">
        <f>SUM(B23:M23)</f>
        <v>0</v>
      </c>
    </row>
    <row r="24" spans="1:16" x14ac:dyDescent="0.25">
      <c r="A24" s="24" t="str">
        <f>Vertaling!$B$27</f>
        <v>Afsluitkosten</v>
      </c>
      <c r="B24" s="25">
        <f>G9</f>
        <v>0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3"/>
      <c r="O24" s="16">
        <f>SUM(B24:M24)</f>
        <v>0</v>
      </c>
    </row>
    <row r="25" spans="1:16" ht="15.75" thickBot="1" x14ac:dyDescent="0.3">
      <c r="A25" s="24" t="str">
        <f>Vertaling!$B$28</f>
        <v>Garantiepremie</v>
      </c>
      <c r="B25" s="36">
        <f>K11</f>
        <v>0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/>
      <c r="O25" s="39">
        <f>SUM(B25:M25)</f>
        <v>0</v>
      </c>
    </row>
    <row r="26" spans="1:16" ht="16.5" customHeight="1" thickTop="1" x14ac:dyDescent="0.25">
      <c r="A26" s="27" t="str">
        <f>Vertaling!$B$29</f>
        <v>Te betalen per maand</v>
      </c>
      <c r="B26" s="17">
        <f>SUM(B22:B25)</f>
        <v>0</v>
      </c>
      <c r="C26" s="17">
        <f t="shared" ref="C26:M26" si="3">SUM(C22:C25)</f>
        <v>0</v>
      </c>
      <c r="D26" s="17">
        <f t="shared" si="3"/>
        <v>0</v>
      </c>
      <c r="E26" s="17">
        <f t="shared" si="3"/>
        <v>0</v>
      </c>
      <c r="F26" s="17">
        <f t="shared" si="3"/>
        <v>0</v>
      </c>
      <c r="G26" s="17">
        <f t="shared" si="3"/>
        <v>0</v>
      </c>
      <c r="H26" s="17">
        <f t="shared" si="3"/>
        <v>0</v>
      </c>
      <c r="I26" s="17">
        <f t="shared" si="3"/>
        <v>0</v>
      </c>
      <c r="J26" s="17">
        <f t="shared" si="3"/>
        <v>0</v>
      </c>
      <c r="K26" s="17">
        <f t="shared" si="3"/>
        <v>0</v>
      </c>
      <c r="L26" s="17">
        <f t="shared" si="3"/>
        <v>0</v>
      </c>
      <c r="M26" s="17">
        <f t="shared" si="3"/>
        <v>0</v>
      </c>
      <c r="N26" s="23"/>
      <c r="O26" s="17">
        <f>SUM(O22:O25)</f>
        <v>0</v>
      </c>
    </row>
    <row r="27" spans="1:16" ht="16.5" hidden="1" customHeight="1" x14ac:dyDescent="0.25">
      <c r="A27" s="2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23"/>
      <c r="O27" s="17"/>
    </row>
    <row r="28" spans="1:16" ht="16.5" hidden="1" customHeight="1" x14ac:dyDescent="0.25">
      <c r="A28" s="27" t="s">
        <v>23</v>
      </c>
      <c r="B28" s="16">
        <f>IF(B20&lt;0.001,0,dropdown!$D$20*B20)</f>
        <v>0</v>
      </c>
      <c r="C28" s="16">
        <f>IF(C20&lt;0.001,0,dropdown!$D$20*C20)</f>
        <v>0</v>
      </c>
      <c r="D28" s="16">
        <f>IF(D20&lt;0.001,0,dropdown!$D$20*D20)</f>
        <v>0</v>
      </c>
      <c r="E28" s="16">
        <f>IF(E20&lt;0.001,0,dropdown!$D$20*E20)</f>
        <v>0</v>
      </c>
      <c r="F28" s="16">
        <f>IF(F20&lt;0.001,0,dropdown!$D$20*F20)</f>
        <v>0</v>
      </c>
      <c r="G28" s="16">
        <f>IF(G20&lt;0.001,0,dropdown!$D$20*G20)</f>
        <v>0</v>
      </c>
      <c r="H28" s="16">
        <f>IF(H20&lt;0.001,0,dropdown!$D$20*H20)</f>
        <v>0</v>
      </c>
      <c r="I28" s="16">
        <f>IF(I20&lt;0.001,0,dropdown!$D$20*I20)</f>
        <v>0</v>
      </c>
      <c r="J28" s="16">
        <f>IF(J20&lt;0.001,0,dropdown!$D$20*J20)</f>
        <v>0</v>
      </c>
      <c r="K28" s="16">
        <f>IF(K20&lt;0.001,0,dropdown!$D$20*K20)</f>
        <v>0</v>
      </c>
      <c r="L28" s="16">
        <f>IF(L20&lt;0.001,0,dropdown!$D$20*L20)</f>
        <v>0</v>
      </c>
      <c r="M28" s="16">
        <f>IF(M20&lt;0.001,0,dropdown!$D$20*M20)</f>
        <v>0</v>
      </c>
      <c r="N28" s="16">
        <f>IF(N20&lt;0.001,0,dropdown!$D$19*N20)</f>
        <v>0</v>
      </c>
      <c r="O28" s="16">
        <f>SUM(B28:M28)*(1/(1+dropdown!$D$19))^VALUE(RIGHT(A19,2))</f>
        <v>0</v>
      </c>
    </row>
    <row r="29" spans="1:16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O29" s="13"/>
    </row>
    <row r="30" spans="1:16" x14ac:dyDescent="0.25">
      <c r="A30" s="33" t="str">
        <f>Vertaling!$B$23&amp;" "&amp;ROUNDUP(B30/12,0)</f>
        <v>Jaar 2</v>
      </c>
      <c r="B30" s="34">
        <f>B19+12</f>
        <v>13</v>
      </c>
      <c r="C30" s="34">
        <f t="shared" ref="C30:M30" si="4">C19+12</f>
        <v>14</v>
      </c>
      <c r="D30" s="34">
        <f t="shared" si="4"/>
        <v>15</v>
      </c>
      <c r="E30" s="34">
        <f t="shared" si="4"/>
        <v>16</v>
      </c>
      <c r="F30" s="34">
        <f t="shared" si="4"/>
        <v>17</v>
      </c>
      <c r="G30" s="34">
        <f t="shared" si="4"/>
        <v>18</v>
      </c>
      <c r="H30" s="34">
        <f t="shared" si="4"/>
        <v>19</v>
      </c>
      <c r="I30" s="34">
        <f t="shared" si="4"/>
        <v>20</v>
      </c>
      <c r="J30" s="34">
        <f t="shared" si="4"/>
        <v>21</v>
      </c>
      <c r="K30" s="34">
        <f t="shared" si="4"/>
        <v>22</v>
      </c>
      <c r="L30" s="34">
        <f t="shared" si="4"/>
        <v>23</v>
      </c>
      <c r="M30" s="34">
        <f t="shared" si="4"/>
        <v>24</v>
      </c>
      <c r="N30" s="35"/>
      <c r="O30" s="34" t="s">
        <v>20</v>
      </c>
    </row>
    <row r="31" spans="1:16" ht="15" customHeight="1" x14ac:dyDescent="0.25">
      <c r="A31" s="22" t="str">
        <f>Vertaling!$B$24</f>
        <v>Bedrag lening begin maand</v>
      </c>
      <c r="B31" s="17">
        <f>IF(M20-M23&lt;0.5,0,M20-M23)</f>
        <v>0</v>
      </c>
      <c r="C31" s="17">
        <f>IF(B31-B34&lt;0.5,0,B31-B34)</f>
        <v>0</v>
      </c>
      <c r="D31" s="17">
        <f t="shared" ref="D31:M31" si="5">IF(C31-C34&lt;0.5,0,C31-C34)</f>
        <v>0</v>
      </c>
      <c r="E31" s="17">
        <f t="shared" si="5"/>
        <v>0</v>
      </c>
      <c r="F31" s="17">
        <f t="shared" si="5"/>
        <v>0</v>
      </c>
      <c r="G31" s="17">
        <f t="shared" si="5"/>
        <v>0</v>
      </c>
      <c r="H31" s="17">
        <f t="shared" si="5"/>
        <v>0</v>
      </c>
      <c r="I31" s="17">
        <f t="shared" si="5"/>
        <v>0</v>
      </c>
      <c r="J31" s="17">
        <f t="shared" si="5"/>
        <v>0</v>
      </c>
      <c r="K31" s="17">
        <f t="shared" si="5"/>
        <v>0</v>
      </c>
      <c r="L31" s="17">
        <f t="shared" si="5"/>
        <v>0</v>
      </c>
      <c r="M31" s="17">
        <f t="shared" si="5"/>
        <v>0</v>
      </c>
      <c r="O31" s="17">
        <f>M31</f>
        <v>0</v>
      </c>
      <c r="P31" s="47"/>
    </row>
    <row r="32" spans="1:16" ht="15" customHeight="1" x14ac:dyDescent="0.25">
      <c r="A32" s="22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O32" s="16"/>
    </row>
    <row r="33" spans="1:15" ht="15" customHeight="1" x14ac:dyDescent="0.25">
      <c r="A33" s="22" t="str">
        <f>Vertaling!$B$25</f>
        <v>Kosten rente per maand</v>
      </c>
      <c r="B33" s="16">
        <f t="shared" ref="B33:M33" si="6">IF(B31&lt;0.001,0,Rentekosten*B31)</f>
        <v>0</v>
      </c>
      <c r="C33" s="16">
        <f t="shared" si="6"/>
        <v>0</v>
      </c>
      <c r="D33" s="16">
        <f t="shared" si="6"/>
        <v>0</v>
      </c>
      <c r="E33" s="16">
        <f t="shared" si="6"/>
        <v>0</v>
      </c>
      <c r="F33" s="16">
        <f t="shared" si="6"/>
        <v>0</v>
      </c>
      <c r="G33" s="16">
        <f t="shared" si="6"/>
        <v>0</v>
      </c>
      <c r="H33" s="16">
        <f t="shared" si="6"/>
        <v>0</v>
      </c>
      <c r="I33" s="16">
        <f t="shared" si="6"/>
        <v>0</v>
      </c>
      <c r="J33" s="16">
        <f t="shared" si="6"/>
        <v>0</v>
      </c>
      <c r="K33" s="16">
        <f t="shared" si="6"/>
        <v>0</v>
      </c>
      <c r="L33" s="16">
        <f t="shared" si="6"/>
        <v>0</v>
      </c>
      <c r="M33" s="16">
        <f t="shared" si="6"/>
        <v>0</v>
      </c>
      <c r="O33" s="16">
        <f>SUM(B33:M33)</f>
        <v>0</v>
      </c>
    </row>
    <row r="34" spans="1:15" ht="15" customHeight="1" thickBot="1" x14ac:dyDescent="0.3">
      <c r="A34" s="22" t="str">
        <f>Vertaling!$B$26</f>
        <v>Aflossing per maand</v>
      </c>
      <c r="B34" s="36">
        <f t="shared" ref="B34:M34" si="7">IF(B31&lt;0.001,0,IF(B30&lt;$C$11+1,0,IF($G$7="Lineair",Aflossingsbedrag,IF($G$7="Annuïteit",IFERROR($G$11-Rentekosten*(B31),0),0))))</f>
        <v>0</v>
      </c>
      <c r="C34" s="36">
        <f t="shared" si="7"/>
        <v>0</v>
      </c>
      <c r="D34" s="36">
        <f t="shared" si="7"/>
        <v>0</v>
      </c>
      <c r="E34" s="36">
        <f t="shared" si="7"/>
        <v>0</v>
      </c>
      <c r="F34" s="36">
        <f t="shared" si="7"/>
        <v>0</v>
      </c>
      <c r="G34" s="36">
        <f t="shared" si="7"/>
        <v>0</v>
      </c>
      <c r="H34" s="36">
        <f t="shared" si="7"/>
        <v>0</v>
      </c>
      <c r="I34" s="36">
        <f t="shared" si="7"/>
        <v>0</v>
      </c>
      <c r="J34" s="36">
        <f t="shared" si="7"/>
        <v>0</v>
      </c>
      <c r="K34" s="36">
        <f t="shared" si="7"/>
        <v>0</v>
      </c>
      <c r="L34" s="36">
        <f t="shared" si="7"/>
        <v>0</v>
      </c>
      <c r="M34" s="36">
        <f t="shared" si="7"/>
        <v>0</v>
      </c>
      <c r="N34" s="38"/>
      <c r="O34" s="39">
        <f>SUM(B34:M34)</f>
        <v>0</v>
      </c>
    </row>
    <row r="35" spans="1:15" ht="16.5" customHeight="1" thickTop="1" x14ac:dyDescent="0.25">
      <c r="A35" s="27" t="str">
        <f>Vertaling!$B$29</f>
        <v>Te betalen per maand</v>
      </c>
      <c r="B35" s="17">
        <f>SUM(B33:B34)</f>
        <v>0</v>
      </c>
      <c r="C35" s="17">
        <f t="shared" ref="C35:M35" si="8">SUM(C33:C34)</f>
        <v>0</v>
      </c>
      <c r="D35" s="17">
        <f t="shared" si="8"/>
        <v>0</v>
      </c>
      <c r="E35" s="17">
        <f t="shared" si="8"/>
        <v>0</v>
      </c>
      <c r="F35" s="17">
        <f t="shared" si="8"/>
        <v>0</v>
      </c>
      <c r="G35" s="17">
        <f t="shared" si="8"/>
        <v>0</v>
      </c>
      <c r="H35" s="17">
        <f t="shared" si="8"/>
        <v>0</v>
      </c>
      <c r="I35" s="17">
        <f t="shared" si="8"/>
        <v>0</v>
      </c>
      <c r="J35" s="17">
        <f t="shared" si="8"/>
        <v>0</v>
      </c>
      <c r="K35" s="17">
        <f t="shared" si="8"/>
        <v>0</v>
      </c>
      <c r="L35" s="17">
        <f t="shared" si="8"/>
        <v>0</v>
      </c>
      <c r="M35" s="17">
        <f t="shared" si="8"/>
        <v>0</v>
      </c>
      <c r="O35" s="17">
        <f>SUM(O33:O34)</f>
        <v>0</v>
      </c>
    </row>
    <row r="36" spans="1:15" hidden="1" x14ac:dyDescent="0.25">
      <c r="A36" s="2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O36" s="17"/>
    </row>
    <row r="37" spans="1:15" ht="16.5" hidden="1" customHeight="1" x14ac:dyDescent="0.25">
      <c r="A37" s="27" t="s">
        <v>23</v>
      </c>
      <c r="B37" s="16">
        <f>IF(B31&lt;0.001,0,dropdown!$D$20*B31)</f>
        <v>0</v>
      </c>
      <c r="C37" s="16">
        <f>IF(C31&lt;0.001,0,dropdown!$D$20*C31)</f>
        <v>0</v>
      </c>
      <c r="D37" s="16">
        <f>IF(D31&lt;0.001,0,dropdown!$D$20*D31)</f>
        <v>0</v>
      </c>
      <c r="E37" s="16">
        <f>IF(E31&lt;0.001,0,dropdown!$D$20*E31)</f>
        <v>0</v>
      </c>
      <c r="F37" s="16">
        <f>IF(F31&lt;0.001,0,dropdown!$D$20*F31)</f>
        <v>0</v>
      </c>
      <c r="G37" s="16">
        <f>IF(G31&lt;0.001,0,dropdown!$D$20*G31)</f>
        <v>0</v>
      </c>
      <c r="H37" s="16">
        <f>IF(H31&lt;0.001,0,dropdown!$D$20*H31)</f>
        <v>0</v>
      </c>
      <c r="I37" s="16">
        <f>IF(I31&lt;0.001,0,dropdown!$D$20*I31)</f>
        <v>0</v>
      </c>
      <c r="J37" s="16">
        <f>IF(J31&lt;0.001,0,dropdown!$D$20*J31)</f>
        <v>0</v>
      </c>
      <c r="K37" s="16">
        <f>IF(K31&lt;0.001,0,dropdown!$D$20*K31)</f>
        <v>0</v>
      </c>
      <c r="L37" s="16">
        <f>IF(L31&lt;0.001,0,dropdown!$D$20*L31)</f>
        <v>0</v>
      </c>
      <c r="M37" s="16">
        <f>IF(M31&lt;0.001,0,dropdown!$D$20*M31)</f>
        <v>0</v>
      </c>
      <c r="N37" s="16">
        <f>IF(N29&lt;0.001,0,dropdown!$D$19*N29)</f>
        <v>0</v>
      </c>
      <c r="O37" s="16">
        <f>SUM(B37:M37)*(1/(1+dropdown!$D$19))^VALUE(RIGHT(A30,2))</f>
        <v>0</v>
      </c>
    </row>
    <row r="38" spans="1:15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O38" s="13"/>
    </row>
    <row r="39" spans="1:15" x14ac:dyDescent="0.25">
      <c r="A39" s="33" t="str">
        <f>Vertaling!$B$23&amp;" "&amp;ROUNDUP(B39/12,0)</f>
        <v>Jaar 3</v>
      </c>
      <c r="B39" s="34">
        <f>B30+12</f>
        <v>25</v>
      </c>
      <c r="C39" s="34">
        <f t="shared" ref="C39:M39" si="9">C30+12</f>
        <v>26</v>
      </c>
      <c r="D39" s="34">
        <f t="shared" si="9"/>
        <v>27</v>
      </c>
      <c r="E39" s="34">
        <f t="shared" si="9"/>
        <v>28</v>
      </c>
      <c r="F39" s="34">
        <f t="shared" si="9"/>
        <v>29</v>
      </c>
      <c r="G39" s="34">
        <f t="shared" si="9"/>
        <v>30</v>
      </c>
      <c r="H39" s="34">
        <f t="shared" si="9"/>
        <v>31</v>
      </c>
      <c r="I39" s="34">
        <f t="shared" si="9"/>
        <v>32</v>
      </c>
      <c r="J39" s="34">
        <f t="shared" si="9"/>
        <v>33</v>
      </c>
      <c r="K39" s="34">
        <f t="shared" si="9"/>
        <v>34</v>
      </c>
      <c r="L39" s="34">
        <f t="shared" si="9"/>
        <v>35</v>
      </c>
      <c r="M39" s="34">
        <f t="shared" si="9"/>
        <v>36</v>
      </c>
      <c r="N39" s="35"/>
      <c r="O39" s="34" t="s">
        <v>20</v>
      </c>
    </row>
    <row r="40" spans="1:15" ht="15" customHeight="1" x14ac:dyDescent="0.25">
      <c r="A40" s="22" t="str">
        <f>Vertaling!$B$24</f>
        <v>Bedrag lening begin maand</v>
      </c>
      <c r="B40" s="17">
        <f>IF(M31-M34&lt;0.5,0,M31-M34)</f>
        <v>0</v>
      </c>
      <c r="C40" s="17">
        <f t="shared" ref="C40:M40" si="10">IF(B40-B43&lt;0.5,0,B40-B43)</f>
        <v>0</v>
      </c>
      <c r="D40" s="17">
        <f t="shared" si="10"/>
        <v>0</v>
      </c>
      <c r="E40" s="17">
        <f t="shared" si="10"/>
        <v>0</v>
      </c>
      <c r="F40" s="17">
        <f t="shared" si="10"/>
        <v>0</v>
      </c>
      <c r="G40" s="17">
        <f t="shared" si="10"/>
        <v>0</v>
      </c>
      <c r="H40" s="17">
        <f t="shared" si="10"/>
        <v>0</v>
      </c>
      <c r="I40" s="17">
        <f t="shared" si="10"/>
        <v>0</v>
      </c>
      <c r="J40" s="17">
        <f t="shared" si="10"/>
        <v>0</v>
      </c>
      <c r="K40" s="17">
        <f t="shared" si="10"/>
        <v>0</v>
      </c>
      <c r="L40" s="17">
        <f t="shared" si="10"/>
        <v>0</v>
      </c>
      <c r="M40" s="17">
        <f t="shared" si="10"/>
        <v>0</v>
      </c>
      <c r="O40" s="17">
        <f>M40</f>
        <v>0</v>
      </c>
    </row>
    <row r="41" spans="1:15" ht="15" customHeight="1" x14ac:dyDescent="0.25">
      <c r="A41" s="22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O41" s="16"/>
    </row>
    <row r="42" spans="1:15" ht="15" customHeight="1" x14ac:dyDescent="0.25">
      <c r="A42" s="22" t="str">
        <f>Vertaling!$B$25</f>
        <v>Kosten rente per maand</v>
      </c>
      <c r="B42" s="16">
        <f t="shared" ref="B42:M42" si="11">IF(B40&lt;0.001,0,Rentekosten*B40)</f>
        <v>0</v>
      </c>
      <c r="C42" s="16">
        <f t="shared" si="11"/>
        <v>0</v>
      </c>
      <c r="D42" s="16">
        <f t="shared" si="11"/>
        <v>0</v>
      </c>
      <c r="E42" s="16">
        <f t="shared" si="11"/>
        <v>0</v>
      </c>
      <c r="F42" s="16">
        <f t="shared" si="11"/>
        <v>0</v>
      </c>
      <c r="G42" s="16">
        <f t="shared" si="11"/>
        <v>0</v>
      </c>
      <c r="H42" s="16">
        <f t="shared" si="11"/>
        <v>0</v>
      </c>
      <c r="I42" s="16">
        <f t="shared" si="11"/>
        <v>0</v>
      </c>
      <c r="J42" s="16">
        <f t="shared" si="11"/>
        <v>0</v>
      </c>
      <c r="K42" s="16">
        <f t="shared" si="11"/>
        <v>0</v>
      </c>
      <c r="L42" s="16">
        <f t="shared" si="11"/>
        <v>0</v>
      </c>
      <c r="M42" s="16">
        <f t="shared" si="11"/>
        <v>0</v>
      </c>
      <c r="O42" s="16">
        <f>SUM(B42:M42)</f>
        <v>0</v>
      </c>
    </row>
    <row r="43" spans="1:15" ht="15" customHeight="1" thickBot="1" x14ac:dyDescent="0.3">
      <c r="A43" s="22" t="str">
        <f>Vertaling!$B$26</f>
        <v>Aflossing per maand</v>
      </c>
      <c r="B43" s="36">
        <f t="shared" ref="B43:M43" si="12">IF(B40&lt;0.001,0,IF(B39&lt;$C$11+1,0,IF($G$7="Lineair",Aflossingsbedrag,IF($G$7="Annuïteit",IFERROR($G$11-Rentekosten*(B40),0),0))))</f>
        <v>0</v>
      </c>
      <c r="C43" s="36">
        <f t="shared" si="12"/>
        <v>0</v>
      </c>
      <c r="D43" s="36">
        <f t="shared" si="12"/>
        <v>0</v>
      </c>
      <c r="E43" s="36">
        <f t="shared" si="12"/>
        <v>0</v>
      </c>
      <c r="F43" s="36">
        <f t="shared" si="12"/>
        <v>0</v>
      </c>
      <c r="G43" s="36">
        <f t="shared" si="12"/>
        <v>0</v>
      </c>
      <c r="H43" s="36">
        <f t="shared" si="12"/>
        <v>0</v>
      </c>
      <c r="I43" s="36">
        <f t="shared" si="12"/>
        <v>0</v>
      </c>
      <c r="J43" s="36">
        <f t="shared" si="12"/>
        <v>0</v>
      </c>
      <c r="K43" s="36">
        <f t="shared" si="12"/>
        <v>0</v>
      </c>
      <c r="L43" s="36">
        <f t="shared" si="12"/>
        <v>0</v>
      </c>
      <c r="M43" s="36">
        <f t="shared" si="12"/>
        <v>0</v>
      </c>
      <c r="N43" s="38"/>
      <c r="O43" s="39">
        <f>SUM(B43:M43)</f>
        <v>0</v>
      </c>
    </row>
    <row r="44" spans="1:15" ht="15" customHeight="1" thickTop="1" x14ac:dyDescent="0.25">
      <c r="A44" s="27" t="str">
        <f>Vertaling!$B$29</f>
        <v>Te betalen per maand</v>
      </c>
      <c r="B44" s="17">
        <f>SUM(B42:B43)</f>
        <v>0</v>
      </c>
      <c r="C44" s="17">
        <f t="shared" ref="C44:M44" si="13">SUM(C42:C43)</f>
        <v>0</v>
      </c>
      <c r="D44" s="17">
        <f t="shared" si="13"/>
        <v>0</v>
      </c>
      <c r="E44" s="17">
        <f t="shared" si="13"/>
        <v>0</v>
      </c>
      <c r="F44" s="17">
        <f t="shared" si="13"/>
        <v>0</v>
      </c>
      <c r="G44" s="17">
        <f t="shared" si="13"/>
        <v>0</v>
      </c>
      <c r="H44" s="17">
        <f t="shared" si="13"/>
        <v>0</v>
      </c>
      <c r="I44" s="17">
        <f t="shared" si="13"/>
        <v>0</v>
      </c>
      <c r="J44" s="17">
        <f t="shared" si="13"/>
        <v>0</v>
      </c>
      <c r="K44" s="17">
        <f t="shared" si="13"/>
        <v>0</v>
      </c>
      <c r="L44" s="17">
        <f t="shared" si="13"/>
        <v>0</v>
      </c>
      <c r="M44" s="17">
        <f t="shared" si="13"/>
        <v>0</v>
      </c>
      <c r="O44" s="17">
        <f>SUM(O42:O43)</f>
        <v>0</v>
      </c>
    </row>
    <row r="45" spans="1:15" hidden="1" x14ac:dyDescent="0.25">
      <c r="A45" s="20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O45" s="17"/>
    </row>
    <row r="46" spans="1:15" ht="16.5" hidden="1" customHeight="1" x14ac:dyDescent="0.25">
      <c r="A46" s="27" t="s">
        <v>23</v>
      </c>
      <c r="B46" s="16">
        <f>IF(B40&lt;0.001,0,dropdown!$D$20*B40)</f>
        <v>0</v>
      </c>
      <c r="C46" s="16">
        <f>IF(C40&lt;0.001,0,dropdown!$D$20*C40)</f>
        <v>0</v>
      </c>
      <c r="D46" s="16">
        <f>IF(D40&lt;0.001,0,dropdown!$D$20*D40)</f>
        <v>0</v>
      </c>
      <c r="E46" s="16">
        <f>IF(E40&lt;0.001,0,dropdown!$D$20*E40)</f>
        <v>0</v>
      </c>
      <c r="F46" s="16">
        <f>IF(F40&lt;0.001,0,dropdown!$D$20*F40)</f>
        <v>0</v>
      </c>
      <c r="G46" s="16">
        <f>IF(G40&lt;0.001,0,dropdown!$D$20*G40)</f>
        <v>0</v>
      </c>
      <c r="H46" s="16">
        <f>IF(H40&lt;0.001,0,dropdown!$D$20*H40)</f>
        <v>0</v>
      </c>
      <c r="I46" s="16">
        <f>IF(I40&lt;0.001,0,dropdown!$D$20*I40)</f>
        <v>0</v>
      </c>
      <c r="J46" s="16">
        <f>IF(J40&lt;0.001,0,dropdown!$D$20*J40)</f>
        <v>0</v>
      </c>
      <c r="K46" s="16">
        <f>IF(K40&lt;0.001,0,dropdown!$D$20*K40)</f>
        <v>0</v>
      </c>
      <c r="L46" s="16">
        <f>IF(L40&lt;0.001,0,dropdown!$D$20*L40)</f>
        <v>0</v>
      </c>
      <c r="M46" s="16">
        <f>IF(M40&lt;0.001,0,dropdown!$D$20*M40)</f>
        <v>0</v>
      </c>
      <c r="N46" s="16">
        <f>IF(N38&lt;0.001,0,dropdown!$D$19*N38)</f>
        <v>0</v>
      </c>
      <c r="O46" s="16">
        <f>SUM(B46:M46)*(1/(1+dropdown!$D$19))^VALUE(RIGHT(A39,2))</f>
        <v>0</v>
      </c>
    </row>
    <row r="47" spans="1:15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O47" s="13"/>
    </row>
    <row r="48" spans="1:15" x14ac:dyDescent="0.25">
      <c r="A48" s="33" t="str">
        <f>Vertaling!$B$23&amp;" "&amp;ROUNDUP(B48/12,0)</f>
        <v>Jaar 4</v>
      </c>
      <c r="B48" s="34">
        <f t="shared" ref="B48:M48" si="14">B39+12</f>
        <v>37</v>
      </c>
      <c r="C48" s="34">
        <f t="shared" si="14"/>
        <v>38</v>
      </c>
      <c r="D48" s="34">
        <f t="shared" si="14"/>
        <v>39</v>
      </c>
      <c r="E48" s="34">
        <f t="shared" si="14"/>
        <v>40</v>
      </c>
      <c r="F48" s="34">
        <f t="shared" si="14"/>
        <v>41</v>
      </c>
      <c r="G48" s="34">
        <f t="shared" si="14"/>
        <v>42</v>
      </c>
      <c r="H48" s="34">
        <f t="shared" si="14"/>
        <v>43</v>
      </c>
      <c r="I48" s="34">
        <f t="shared" si="14"/>
        <v>44</v>
      </c>
      <c r="J48" s="34">
        <f t="shared" si="14"/>
        <v>45</v>
      </c>
      <c r="K48" s="34">
        <f t="shared" si="14"/>
        <v>46</v>
      </c>
      <c r="L48" s="34">
        <f t="shared" si="14"/>
        <v>47</v>
      </c>
      <c r="M48" s="34">
        <f t="shared" si="14"/>
        <v>48</v>
      </c>
      <c r="N48" s="35"/>
      <c r="O48" s="34" t="s">
        <v>20</v>
      </c>
    </row>
    <row r="49" spans="1:16" ht="15" customHeight="1" x14ac:dyDescent="0.25">
      <c r="A49" s="22" t="str">
        <f>Vertaling!$B$24</f>
        <v>Bedrag lening begin maand</v>
      </c>
      <c r="B49" s="17">
        <f>IF(M40-M43&lt;0.5,0,M40-M43)</f>
        <v>0</v>
      </c>
      <c r="C49" s="17">
        <f t="shared" ref="C49:M49" si="15">IF(B49-B52&lt;0.5,0,B49-B52)</f>
        <v>0</v>
      </c>
      <c r="D49" s="17">
        <f t="shared" si="15"/>
        <v>0</v>
      </c>
      <c r="E49" s="17">
        <f t="shared" si="15"/>
        <v>0</v>
      </c>
      <c r="F49" s="17">
        <f t="shared" si="15"/>
        <v>0</v>
      </c>
      <c r="G49" s="17">
        <f t="shared" si="15"/>
        <v>0</v>
      </c>
      <c r="H49" s="17">
        <f t="shared" si="15"/>
        <v>0</v>
      </c>
      <c r="I49" s="17">
        <f t="shared" si="15"/>
        <v>0</v>
      </c>
      <c r="J49" s="17">
        <f t="shared" si="15"/>
        <v>0</v>
      </c>
      <c r="K49" s="17">
        <f t="shared" si="15"/>
        <v>0</v>
      </c>
      <c r="L49" s="17">
        <f t="shared" si="15"/>
        <v>0</v>
      </c>
      <c r="M49" s="17">
        <f t="shared" si="15"/>
        <v>0</v>
      </c>
      <c r="O49" s="17">
        <f>M49</f>
        <v>0</v>
      </c>
      <c r="P49" s="47"/>
    </row>
    <row r="50" spans="1:16" ht="15" customHeight="1" x14ac:dyDescent="0.25">
      <c r="A50" s="22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O50" s="16"/>
    </row>
    <row r="51" spans="1:16" ht="15" customHeight="1" x14ac:dyDescent="0.25">
      <c r="A51" s="22" t="str">
        <f>Vertaling!$B$25</f>
        <v>Kosten rente per maand</v>
      </c>
      <c r="B51" s="16">
        <f t="shared" ref="B51:M51" si="16">IF(B49&lt;0.001,0,Rentekosten*B49)</f>
        <v>0</v>
      </c>
      <c r="C51" s="16">
        <f t="shared" si="16"/>
        <v>0</v>
      </c>
      <c r="D51" s="16">
        <f t="shared" si="16"/>
        <v>0</v>
      </c>
      <c r="E51" s="16">
        <f t="shared" si="16"/>
        <v>0</v>
      </c>
      <c r="F51" s="16">
        <f t="shared" si="16"/>
        <v>0</v>
      </c>
      <c r="G51" s="16">
        <f t="shared" si="16"/>
        <v>0</v>
      </c>
      <c r="H51" s="16">
        <f t="shared" si="16"/>
        <v>0</v>
      </c>
      <c r="I51" s="16">
        <f t="shared" si="16"/>
        <v>0</v>
      </c>
      <c r="J51" s="16">
        <f t="shared" si="16"/>
        <v>0</v>
      </c>
      <c r="K51" s="16">
        <f t="shared" si="16"/>
        <v>0</v>
      </c>
      <c r="L51" s="16">
        <f t="shared" si="16"/>
        <v>0</v>
      </c>
      <c r="M51" s="16">
        <f t="shared" si="16"/>
        <v>0</v>
      </c>
      <c r="O51" s="16">
        <f>SUM(B51:M51)</f>
        <v>0</v>
      </c>
    </row>
    <row r="52" spans="1:16" ht="15" customHeight="1" thickBot="1" x14ac:dyDescent="0.3">
      <c r="A52" s="22" t="str">
        <f>Vertaling!$B$26</f>
        <v>Aflossing per maand</v>
      </c>
      <c r="B52" s="36">
        <f t="shared" ref="B52:M52" si="17">IF(B49&lt;0.001,0,IF(B48&lt;$C$11+1,0,IF($G$7="Lineair",Aflossingsbedrag,IF($G$7="Annuïteit",IFERROR($G$11-Rentekosten*(B49),0),0))))</f>
        <v>0</v>
      </c>
      <c r="C52" s="36">
        <f t="shared" si="17"/>
        <v>0</v>
      </c>
      <c r="D52" s="36">
        <f t="shared" si="17"/>
        <v>0</v>
      </c>
      <c r="E52" s="36">
        <f t="shared" si="17"/>
        <v>0</v>
      </c>
      <c r="F52" s="36">
        <f t="shared" si="17"/>
        <v>0</v>
      </c>
      <c r="G52" s="36">
        <f t="shared" si="17"/>
        <v>0</v>
      </c>
      <c r="H52" s="36">
        <f t="shared" si="17"/>
        <v>0</v>
      </c>
      <c r="I52" s="36">
        <f t="shared" si="17"/>
        <v>0</v>
      </c>
      <c r="J52" s="36">
        <f t="shared" si="17"/>
        <v>0</v>
      </c>
      <c r="K52" s="36">
        <f t="shared" si="17"/>
        <v>0</v>
      </c>
      <c r="L52" s="36">
        <f t="shared" si="17"/>
        <v>0</v>
      </c>
      <c r="M52" s="36">
        <f t="shared" si="17"/>
        <v>0</v>
      </c>
      <c r="N52" s="38"/>
      <c r="O52" s="39">
        <f>SUM(B52:M52)</f>
        <v>0</v>
      </c>
    </row>
    <row r="53" spans="1:16" ht="15" customHeight="1" thickTop="1" x14ac:dyDescent="0.25">
      <c r="A53" s="27" t="str">
        <f>Vertaling!$B$29</f>
        <v>Te betalen per maand</v>
      </c>
      <c r="B53" s="17">
        <f t="shared" ref="B53:M53" si="18">SUM(B51:B52)</f>
        <v>0</v>
      </c>
      <c r="C53" s="17">
        <f t="shared" si="18"/>
        <v>0</v>
      </c>
      <c r="D53" s="17">
        <f t="shared" si="18"/>
        <v>0</v>
      </c>
      <c r="E53" s="17">
        <f t="shared" si="18"/>
        <v>0</v>
      </c>
      <c r="F53" s="17">
        <f t="shared" si="18"/>
        <v>0</v>
      </c>
      <c r="G53" s="17">
        <f t="shared" si="18"/>
        <v>0</v>
      </c>
      <c r="H53" s="17">
        <f t="shared" si="18"/>
        <v>0</v>
      </c>
      <c r="I53" s="17">
        <f t="shared" si="18"/>
        <v>0</v>
      </c>
      <c r="J53" s="17">
        <f t="shared" si="18"/>
        <v>0</v>
      </c>
      <c r="K53" s="17">
        <f t="shared" si="18"/>
        <v>0</v>
      </c>
      <c r="L53" s="17">
        <f t="shared" si="18"/>
        <v>0</v>
      </c>
      <c r="M53" s="17">
        <f t="shared" si="18"/>
        <v>0</v>
      </c>
      <c r="O53" s="17">
        <f>SUM(O51:O52)</f>
        <v>0</v>
      </c>
    </row>
    <row r="54" spans="1:16" hidden="1" x14ac:dyDescent="0.25">
      <c r="A54" s="20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O54" s="17"/>
    </row>
    <row r="55" spans="1:16" ht="16.5" hidden="1" customHeight="1" x14ac:dyDescent="0.25">
      <c r="A55" s="27" t="s">
        <v>23</v>
      </c>
      <c r="B55" s="16">
        <f>IF(B49&lt;0.001,0,dropdown!$D$20*B49)</f>
        <v>0</v>
      </c>
      <c r="C55" s="16">
        <f>IF(C49&lt;0.001,0,dropdown!$D$20*C49)</f>
        <v>0</v>
      </c>
      <c r="D55" s="16">
        <f>IF(D49&lt;0.001,0,dropdown!$D$20*D49)</f>
        <v>0</v>
      </c>
      <c r="E55" s="16">
        <f>IF(E49&lt;0.001,0,dropdown!$D$20*E49)</f>
        <v>0</v>
      </c>
      <c r="F55" s="16">
        <f>IF(F49&lt;0.001,0,dropdown!$D$20*F49)</f>
        <v>0</v>
      </c>
      <c r="G55" s="16">
        <f>IF(G49&lt;0.001,0,dropdown!$D$20*G49)</f>
        <v>0</v>
      </c>
      <c r="H55" s="16">
        <f>IF(H49&lt;0.001,0,dropdown!$D$20*H49)</f>
        <v>0</v>
      </c>
      <c r="I55" s="16">
        <f>IF(I49&lt;0.001,0,dropdown!$D$20*I49)</f>
        <v>0</v>
      </c>
      <c r="J55" s="16">
        <f>IF(J49&lt;0.001,0,dropdown!$D$20*J49)</f>
        <v>0</v>
      </c>
      <c r="K55" s="16">
        <f>IF(K49&lt;0.001,0,dropdown!$D$20*K49)</f>
        <v>0</v>
      </c>
      <c r="L55" s="16">
        <f>IF(L49&lt;0.001,0,dropdown!$D$20*L49)</f>
        <v>0</v>
      </c>
      <c r="M55" s="16">
        <f>IF(M49&lt;0.001,0,dropdown!$D$20*M49)</f>
        <v>0</v>
      </c>
      <c r="N55" s="16">
        <f>IF(N47&lt;0.001,0,dropdown!$D$19*N47)</f>
        <v>0</v>
      </c>
      <c r="O55" s="16">
        <f>SUM(B55:M55)*(1/(1+dropdown!$D$19))^VALUE(RIGHT(A48,2))</f>
        <v>0</v>
      </c>
    </row>
    <row r="56" spans="1:16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O56" s="13"/>
    </row>
    <row r="57" spans="1:16" x14ac:dyDescent="0.25">
      <c r="A57" s="33" t="str">
        <f>Vertaling!$B$23&amp;" "&amp;ROUNDUP(B57/12,0)</f>
        <v>Jaar 5</v>
      </c>
      <c r="B57" s="34">
        <f t="shared" ref="B57:M57" si="19">B48+12</f>
        <v>49</v>
      </c>
      <c r="C57" s="34">
        <f t="shared" si="19"/>
        <v>50</v>
      </c>
      <c r="D57" s="34">
        <f t="shared" si="19"/>
        <v>51</v>
      </c>
      <c r="E57" s="34">
        <f t="shared" si="19"/>
        <v>52</v>
      </c>
      <c r="F57" s="34">
        <f t="shared" si="19"/>
        <v>53</v>
      </c>
      <c r="G57" s="34">
        <f t="shared" si="19"/>
        <v>54</v>
      </c>
      <c r="H57" s="34">
        <f t="shared" si="19"/>
        <v>55</v>
      </c>
      <c r="I57" s="34">
        <f t="shared" si="19"/>
        <v>56</v>
      </c>
      <c r="J57" s="34">
        <f t="shared" si="19"/>
        <v>57</v>
      </c>
      <c r="K57" s="34">
        <f t="shared" si="19"/>
        <v>58</v>
      </c>
      <c r="L57" s="34">
        <f t="shared" si="19"/>
        <v>59</v>
      </c>
      <c r="M57" s="34">
        <f t="shared" si="19"/>
        <v>60</v>
      </c>
      <c r="N57" s="35"/>
      <c r="O57" s="34" t="s">
        <v>20</v>
      </c>
    </row>
    <row r="58" spans="1:16" ht="15" customHeight="1" x14ac:dyDescent="0.25">
      <c r="A58" s="22" t="str">
        <f>Vertaling!$B$24</f>
        <v>Bedrag lening begin maand</v>
      </c>
      <c r="B58" s="17">
        <f>IF(M49-M52&lt;0.5,0,M49-M52)</f>
        <v>0</v>
      </c>
      <c r="C58" s="17">
        <f t="shared" ref="C58:M58" si="20">IF(B58-B61&lt;0.5,0,B58-B61)</f>
        <v>0</v>
      </c>
      <c r="D58" s="17">
        <f t="shared" si="20"/>
        <v>0</v>
      </c>
      <c r="E58" s="17">
        <f t="shared" si="20"/>
        <v>0</v>
      </c>
      <c r="F58" s="17">
        <f t="shared" si="20"/>
        <v>0</v>
      </c>
      <c r="G58" s="17">
        <f t="shared" si="20"/>
        <v>0</v>
      </c>
      <c r="H58" s="17">
        <f t="shared" si="20"/>
        <v>0</v>
      </c>
      <c r="I58" s="17">
        <f t="shared" si="20"/>
        <v>0</v>
      </c>
      <c r="J58" s="17">
        <f t="shared" si="20"/>
        <v>0</v>
      </c>
      <c r="K58" s="17">
        <f t="shared" si="20"/>
        <v>0</v>
      </c>
      <c r="L58" s="17">
        <f t="shared" si="20"/>
        <v>0</v>
      </c>
      <c r="M58" s="17">
        <f t="shared" si="20"/>
        <v>0</v>
      </c>
      <c r="O58" s="17">
        <f>M58</f>
        <v>0</v>
      </c>
    </row>
    <row r="59" spans="1:16" ht="15" customHeight="1" x14ac:dyDescent="0.25">
      <c r="A59" s="22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O59" s="16"/>
    </row>
    <row r="60" spans="1:16" ht="15" customHeight="1" x14ac:dyDescent="0.25">
      <c r="A60" s="22" t="str">
        <f>Vertaling!$B$25</f>
        <v>Kosten rente per maand</v>
      </c>
      <c r="B60" s="16">
        <f t="shared" ref="B60:M60" si="21">IF(B58&lt;0.001,0,Rentekosten*B58)</f>
        <v>0</v>
      </c>
      <c r="C60" s="16">
        <f t="shared" si="21"/>
        <v>0</v>
      </c>
      <c r="D60" s="16">
        <f t="shared" si="21"/>
        <v>0</v>
      </c>
      <c r="E60" s="16">
        <f t="shared" si="21"/>
        <v>0</v>
      </c>
      <c r="F60" s="16">
        <f t="shared" si="21"/>
        <v>0</v>
      </c>
      <c r="G60" s="16">
        <f t="shared" si="21"/>
        <v>0</v>
      </c>
      <c r="H60" s="16">
        <f t="shared" si="21"/>
        <v>0</v>
      </c>
      <c r="I60" s="16">
        <f t="shared" si="21"/>
        <v>0</v>
      </c>
      <c r="J60" s="16">
        <f t="shared" si="21"/>
        <v>0</v>
      </c>
      <c r="K60" s="16">
        <f t="shared" si="21"/>
        <v>0</v>
      </c>
      <c r="L60" s="16">
        <f t="shared" si="21"/>
        <v>0</v>
      </c>
      <c r="M60" s="16">
        <f t="shared" si="21"/>
        <v>0</v>
      </c>
      <c r="O60" s="16">
        <f>SUM(B60:M60)</f>
        <v>0</v>
      </c>
    </row>
    <row r="61" spans="1:16" ht="15" customHeight="1" thickBot="1" x14ac:dyDescent="0.3">
      <c r="A61" s="22" t="str">
        <f>Vertaling!$B$26</f>
        <v>Aflossing per maand</v>
      </c>
      <c r="B61" s="36">
        <f t="shared" ref="B61:M61" si="22">IF(B58&lt;0.001,0,IF(B57&lt;$C$11+1,0,IF($G$7="Lineair",Aflossingsbedrag,IF($G$7="Annuïteit",IFERROR($G$11-Rentekosten*(B58),0),0))))</f>
        <v>0</v>
      </c>
      <c r="C61" s="36">
        <f t="shared" si="22"/>
        <v>0</v>
      </c>
      <c r="D61" s="36">
        <f t="shared" si="22"/>
        <v>0</v>
      </c>
      <c r="E61" s="36">
        <f t="shared" si="22"/>
        <v>0</v>
      </c>
      <c r="F61" s="36">
        <f t="shared" si="22"/>
        <v>0</v>
      </c>
      <c r="G61" s="36">
        <f t="shared" si="22"/>
        <v>0</v>
      </c>
      <c r="H61" s="36">
        <f t="shared" si="22"/>
        <v>0</v>
      </c>
      <c r="I61" s="36">
        <f t="shared" si="22"/>
        <v>0</v>
      </c>
      <c r="J61" s="36">
        <f t="shared" si="22"/>
        <v>0</v>
      </c>
      <c r="K61" s="36">
        <f t="shared" si="22"/>
        <v>0</v>
      </c>
      <c r="L61" s="36">
        <f t="shared" si="22"/>
        <v>0</v>
      </c>
      <c r="M61" s="36">
        <f t="shared" si="22"/>
        <v>0</v>
      </c>
      <c r="N61" s="38"/>
      <c r="O61" s="39">
        <f>SUM(B61:M61)</f>
        <v>0</v>
      </c>
    </row>
    <row r="62" spans="1:16" ht="15" customHeight="1" thickTop="1" x14ac:dyDescent="0.25">
      <c r="A62" s="27" t="str">
        <f>Vertaling!$B$29</f>
        <v>Te betalen per maand</v>
      </c>
      <c r="B62" s="17">
        <f t="shared" ref="B62:M62" si="23">SUM(B60:B61)</f>
        <v>0</v>
      </c>
      <c r="C62" s="17">
        <f t="shared" si="23"/>
        <v>0</v>
      </c>
      <c r="D62" s="17">
        <f t="shared" si="23"/>
        <v>0</v>
      </c>
      <c r="E62" s="17">
        <f t="shared" si="23"/>
        <v>0</v>
      </c>
      <c r="F62" s="17">
        <f t="shared" si="23"/>
        <v>0</v>
      </c>
      <c r="G62" s="17">
        <f t="shared" si="23"/>
        <v>0</v>
      </c>
      <c r="H62" s="17">
        <f t="shared" si="23"/>
        <v>0</v>
      </c>
      <c r="I62" s="17">
        <f t="shared" si="23"/>
        <v>0</v>
      </c>
      <c r="J62" s="17">
        <f t="shared" si="23"/>
        <v>0</v>
      </c>
      <c r="K62" s="17">
        <f t="shared" si="23"/>
        <v>0</v>
      </c>
      <c r="L62" s="17">
        <f t="shared" si="23"/>
        <v>0</v>
      </c>
      <c r="M62" s="17">
        <f t="shared" si="23"/>
        <v>0</v>
      </c>
      <c r="O62" s="17">
        <f>SUM(O60:O61)</f>
        <v>0</v>
      </c>
    </row>
    <row r="63" spans="1:16" hidden="1" x14ac:dyDescent="0.25">
      <c r="A63" s="20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O63" s="17"/>
    </row>
    <row r="64" spans="1:16" ht="16.5" hidden="1" customHeight="1" x14ac:dyDescent="0.25">
      <c r="A64" s="27" t="s">
        <v>23</v>
      </c>
      <c r="B64" s="16">
        <f>IF(B58&lt;0.001,0,dropdown!$D$20*B58)</f>
        <v>0</v>
      </c>
      <c r="C64" s="16">
        <f>IF(C58&lt;0.001,0,dropdown!$D$20*C58)</f>
        <v>0</v>
      </c>
      <c r="D64" s="16">
        <f>IF(D58&lt;0.001,0,dropdown!$D$20*D58)</f>
        <v>0</v>
      </c>
      <c r="E64" s="16">
        <f>IF(E58&lt;0.001,0,dropdown!$D$20*E58)</f>
        <v>0</v>
      </c>
      <c r="F64" s="16">
        <f>IF(F58&lt;0.001,0,dropdown!$D$20*F58)</f>
        <v>0</v>
      </c>
      <c r="G64" s="16">
        <f>IF(G58&lt;0.001,0,dropdown!$D$20*G58)</f>
        <v>0</v>
      </c>
      <c r="H64" s="16">
        <f>IF(H58&lt;0.001,0,dropdown!$D$20*H58)</f>
        <v>0</v>
      </c>
      <c r="I64" s="16">
        <f>IF(I58&lt;0.001,0,dropdown!$D$20*I58)</f>
        <v>0</v>
      </c>
      <c r="J64" s="16">
        <f>IF(J58&lt;0.001,0,dropdown!$D$20*J58)</f>
        <v>0</v>
      </c>
      <c r="K64" s="16">
        <f>IF(K58&lt;0.001,0,dropdown!$D$20*K58)</f>
        <v>0</v>
      </c>
      <c r="L64" s="16">
        <f>IF(L58&lt;0.001,0,dropdown!$D$20*L58)</f>
        <v>0</v>
      </c>
      <c r="M64" s="16">
        <f>IF(M58&lt;0.001,0,dropdown!$D$20*M58)</f>
        <v>0</v>
      </c>
      <c r="N64" s="16">
        <f>IF(N56&lt;0.001,0,dropdown!$D$19*N56)</f>
        <v>0</v>
      </c>
      <c r="O64" s="16">
        <f>SUM(B64:M64)*(1/(1+dropdown!$D$19))^VALUE(RIGHT(A57,2))</f>
        <v>0</v>
      </c>
    </row>
    <row r="65" spans="1:16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O65" s="13"/>
    </row>
    <row r="66" spans="1:16" x14ac:dyDescent="0.25">
      <c r="A66" s="33" t="str">
        <f>Vertaling!$B$23&amp;" "&amp;ROUNDUP(B66/12,0)</f>
        <v>Jaar 6</v>
      </c>
      <c r="B66" s="34">
        <f t="shared" ref="B66:M66" si="24">B57+12</f>
        <v>61</v>
      </c>
      <c r="C66" s="34">
        <f t="shared" si="24"/>
        <v>62</v>
      </c>
      <c r="D66" s="34">
        <f t="shared" si="24"/>
        <v>63</v>
      </c>
      <c r="E66" s="34">
        <f t="shared" si="24"/>
        <v>64</v>
      </c>
      <c r="F66" s="34">
        <f t="shared" si="24"/>
        <v>65</v>
      </c>
      <c r="G66" s="34">
        <f t="shared" si="24"/>
        <v>66</v>
      </c>
      <c r="H66" s="34">
        <f t="shared" si="24"/>
        <v>67</v>
      </c>
      <c r="I66" s="34">
        <f t="shared" si="24"/>
        <v>68</v>
      </c>
      <c r="J66" s="34">
        <f t="shared" si="24"/>
        <v>69</v>
      </c>
      <c r="K66" s="34">
        <f t="shared" si="24"/>
        <v>70</v>
      </c>
      <c r="L66" s="34">
        <f t="shared" si="24"/>
        <v>71</v>
      </c>
      <c r="M66" s="34">
        <f t="shared" si="24"/>
        <v>72</v>
      </c>
      <c r="N66" s="35"/>
      <c r="O66" s="34" t="s">
        <v>20</v>
      </c>
    </row>
    <row r="67" spans="1:16" ht="15" customHeight="1" x14ac:dyDescent="0.25">
      <c r="A67" s="22" t="str">
        <f>Vertaling!$B$24</f>
        <v>Bedrag lening begin maand</v>
      </c>
      <c r="B67" s="17">
        <f>IF(M58-M61&lt;0.5,0,M58-M61)</f>
        <v>0</v>
      </c>
      <c r="C67" s="17">
        <f t="shared" ref="C67:M67" si="25">IF(B67-B70&lt;0.5,0,B67-B70)</f>
        <v>0</v>
      </c>
      <c r="D67" s="17">
        <f t="shared" si="25"/>
        <v>0</v>
      </c>
      <c r="E67" s="17">
        <f t="shared" si="25"/>
        <v>0</v>
      </c>
      <c r="F67" s="17">
        <f t="shared" si="25"/>
        <v>0</v>
      </c>
      <c r="G67" s="17">
        <f t="shared" si="25"/>
        <v>0</v>
      </c>
      <c r="H67" s="17">
        <f t="shared" si="25"/>
        <v>0</v>
      </c>
      <c r="I67" s="17">
        <f t="shared" si="25"/>
        <v>0</v>
      </c>
      <c r="J67" s="17">
        <f t="shared" si="25"/>
        <v>0</v>
      </c>
      <c r="K67" s="17">
        <f t="shared" si="25"/>
        <v>0</v>
      </c>
      <c r="L67" s="17">
        <f t="shared" si="25"/>
        <v>0</v>
      </c>
      <c r="M67" s="17">
        <f t="shared" si="25"/>
        <v>0</v>
      </c>
      <c r="O67" s="17">
        <f>M67</f>
        <v>0</v>
      </c>
      <c r="P67" s="47"/>
    </row>
    <row r="68" spans="1:16" ht="15" customHeight="1" x14ac:dyDescent="0.25">
      <c r="A68" s="22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O68" s="16"/>
    </row>
    <row r="69" spans="1:16" ht="15" customHeight="1" x14ac:dyDescent="0.25">
      <c r="A69" s="22" t="str">
        <f>Vertaling!$B$25</f>
        <v>Kosten rente per maand</v>
      </c>
      <c r="B69" s="16">
        <f t="shared" ref="B69:M69" si="26">IF(B67&lt;0.001,0,Rentekosten*B67)</f>
        <v>0</v>
      </c>
      <c r="C69" s="16">
        <f t="shared" si="26"/>
        <v>0</v>
      </c>
      <c r="D69" s="16">
        <f t="shared" si="26"/>
        <v>0</v>
      </c>
      <c r="E69" s="16">
        <f t="shared" si="26"/>
        <v>0</v>
      </c>
      <c r="F69" s="16">
        <f t="shared" si="26"/>
        <v>0</v>
      </c>
      <c r="G69" s="16">
        <f t="shared" si="26"/>
        <v>0</v>
      </c>
      <c r="H69" s="16">
        <f t="shared" si="26"/>
        <v>0</v>
      </c>
      <c r="I69" s="16">
        <f t="shared" si="26"/>
        <v>0</v>
      </c>
      <c r="J69" s="16">
        <f t="shared" si="26"/>
        <v>0</v>
      </c>
      <c r="K69" s="16">
        <f t="shared" si="26"/>
        <v>0</v>
      </c>
      <c r="L69" s="16">
        <f t="shared" si="26"/>
        <v>0</v>
      </c>
      <c r="M69" s="16">
        <f t="shared" si="26"/>
        <v>0</v>
      </c>
      <c r="O69" s="16">
        <f>SUM(B69:M69)</f>
        <v>0</v>
      </c>
    </row>
    <row r="70" spans="1:16" ht="15" customHeight="1" thickBot="1" x14ac:dyDescent="0.3">
      <c r="A70" s="22" t="str">
        <f>Vertaling!$B$26</f>
        <v>Aflossing per maand</v>
      </c>
      <c r="B70" s="36">
        <f t="shared" ref="B70:M70" si="27">IF(B67&lt;0.001,0,IF(B66&lt;$C$11+1,0,IF($G$7="Lineair",Aflossingsbedrag,IF($G$7="Annuïteit",IFERROR($G$11-Rentekosten*(B67),0),0))))</f>
        <v>0</v>
      </c>
      <c r="C70" s="36">
        <f t="shared" si="27"/>
        <v>0</v>
      </c>
      <c r="D70" s="36">
        <f t="shared" si="27"/>
        <v>0</v>
      </c>
      <c r="E70" s="36">
        <f t="shared" si="27"/>
        <v>0</v>
      </c>
      <c r="F70" s="36">
        <f t="shared" si="27"/>
        <v>0</v>
      </c>
      <c r="G70" s="36">
        <f t="shared" si="27"/>
        <v>0</v>
      </c>
      <c r="H70" s="36">
        <f t="shared" si="27"/>
        <v>0</v>
      </c>
      <c r="I70" s="36">
        <f t="shared" si="27"/>
        <v>0</v>
      </c>
      <c r="J70" s="36">
        <f t="shared" si="27"/>
        <v>0</v>
      </c>
      <c r="K70" s="36">
        <f t="shared" si="27"/>
        <v>0</v>
      </c>
      <c r="L70" s="36">
        <f t="shared" si="27"/>
        <v>0</v>
      </c>
      <c r="M70" s="36">
        <f t="shared" si="27"/>
        <v>0</v>
      </c>
      <c r="N70" s="38"/>
      <c r="O70" s="39">
        <f>SUM(B70:M70)</f>
        <v>0</v>
      </c>
    </row>
    <row r="71" spans="1:16" ht="15" customHeight="1" thickTop="1" x14ac:dyDescent="0.25">
      <c r="A71" s="27" t="str">
        <f>Vertaling!$B$29</f>
        <v>Te betalen per maand</v>
      </c>
      <c r="B71" s="17">
        <f t="shared" ref="B71:M71" si="28">SUM(B69:B70)</f>
        <v>0</v>
      </c>
      <c r="C71" s="17">
        <f t="shared" si="28"/>
        <v>0</v>
      </c>
      <c r="D71" s="17">
        <f t="shared" si="28"/>
        <v>0</v>
      </c>
      <c r="E71" s="17">
        <f t="shared" si="28"/>
        <v>0</v>
      </c>
      <c r="F71" s="17">
        <f t="shared" si="28"/>
        <v>0</v>
      </c>
      <c r="G71" s="17">
        <f t="shared" si="28"/>
        <v>0</v>
      </c>
      <c r="H71" s="17">
        <f t="shared" si="28"/>
        <v>0</v>
      </c>
      <c r="I71" s="17">
        <f t="shared" si="28"/>
        <v>0</v>
      </c>
      <c r="J71" s="17">
        <f t="shared" si="28"/>
        <v>0</v>
      </c>
      <c r="K71" s="17">
        <f t="shared" si="28"/>
        <v>0</v>
      </c>
      <c r="L71" s="17">
        <f t="shared" si="28"/>
        <v>0</v>
      </c>
      <c r="M71" s="17">
        <f t="shared" si="28"/>
        <v>0</v>
      </c>
      <c r="O71" s="17">
        <f>SUM(O69:O70)</f>
        <v>0</v>
      </c>
    </row>
    <row r="72" spans="1:16" hidden="1" x14ac:dyDescent="0.25">
      <c r="A72" s="20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O72" s="17"/>
    </row>
    <row r="73" spans="1:16" ht="16.5" hidden="1" customHeight="1" x14ac:dyDescent="0.25">
      <c r="A73" s="27" t="s">
        <v>23</v>
      </c>
      <c r="B73" s="16">
        <f>IF(B67&lt;0.001,0,dropdown!$D$20*B67)</f>
        <v>0</v>
      </c>
      <c r="C73" s="16">
        <f>IF(C67&lt;0.001,0,dropdown!$D$20*C67)</f>
        <v>0</v>
      </c>
      <c r="D73" s="16">
        <f>IF(D67&lt;0.001,0,dropdown!$D$20*D67)</f>
        <v>0</v>
      </c>
      <c r="E73" s="16">
        <f>IF(E67&lt;0.001,0,dropdown!$D$20*E67)</f>
        <v>0</v>
      </c>
      <c r="F73" s="16">
        <f>IF(F67&lt;0.001,0,dropdown!$D$20*F67)</f>
        <v>0</v>
      </c>
      <c r="G73" s="16">
        <f>IF(G67&lt;0.001,0,dropdown!$D$20*G67)</f>
        <v>0</v>
      </c>
      <c r="H73" s="16">
        <f>IF(H67&lt;0.001,0,dropdown!$D$20*H67)</f>
        <v>0</v>
      </c>
      <c r="I73" s="16">
        <f>IF(I67&lt;0.001,0,dropdown!$D$20*I67)</f>
        <v>0</v>
      </c>
      <c r="J73" s="16">
        <f>IF(J67&lt;0.001,0,dropdown!$D$20*J67)</f>
        <v>0</v>
      </c>
      <c r="K73" s="16">
        <f>IF(K67&lt;0.001,0,dropdown!$D$20*K67)</f>
        <v>0</v>
      </c>
      <c r="L73" s="16">
        <f>IF(L67&lt;0.001,0,dropdown!$D$20*L67)</f>
        <v>0</v>
      </c>
      <c r="M73" s="16">
        <f>IF(M67&lt;0.001,0,dropdown!$D$20*M67)</f>
        <v>0</v>
      </c>
      <c r="N73" s="16">
        <f>IF(N65&lt;0.001,0,dropdown!$D$19*N65)</f>
        <v>0</v>
      </c>
      <c r="O73" s="16">
        <f>SUM(B73:M73)*(1/(1+dropdown!$D$19))^VALUE(RIGHT(A66,2))</f>
        <v>0</v>
      </c>
    </row>
    <row r="74" spans="1:16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O74" s="13"/>
    </row>
    <row r="75" spans="1:16" x14ac:dyDescent="0.25">
      <c r="A75" s="33" t="str">
        <f>Vertaling!$B$23&amp;" "&amp;ROUNDUP(B75/12,0)</f>
        <v>Jaar 7</v>
      </c>
      <c r="B75" s="34">
        <f t="shared" ref="B75:M75" si="29">B66+12</f>
        <v>73</v>
      </c>
      <c r="C75" s="34">
        <f t="shared" si="29"/>
        <v>74</v>
      </c>
      <c r="D75" s="34">
        <f t="shared" si="29"/>
        <v>75</v>
      </c>
      <c r="E75" s="34">
        <f t="shared" si="29"/>
        <v>76</v>
      </c>
      <c r="F75" s="34">
        <f t="shared" si="29"/>
        <v>77</v>
      </c>
      <c r="G75" s="34">
        <f t="shared" si="29"/>
        <v>78</v>
      </c>
      <c r="H75" s="34">
        <f t="shared" si="29"/>
        <v>79</v>
      </c>
      <c r="I75" s="34">
        <f t="shared" si="29"/>
        <v>80</v>
      </c>
      <c r="J75" s="34">
        <f t="shared" si="29"/>
        <v>81</v>
      </c>
      <c r="K75" s="34">
        <f t="shared" si="29"/>
        <v>82</v>
      </c>
      <c r="L75" s="34">
        <f t="shared" si="29"/>
        <v>83</v>
      </c>
      <c r="M75" s="34">
        <f t="shared" si="29"/>
        <v>84</v>
      </c>
      <c r="N75" s="35"/>
      <c r="O75" s="34" t="s">
        <v>20</v>
      </c>
    </row>
    <row r="76" spans="1:16" ht="15" customHeight="1" x14ac:dyDescent="0.25">
      <c r="A76" s="22" t="str">
        <f>Vertaling!$B$24</f>
        <v>Bedrag lening begin maand</v>
      </c>
      <c r="B76" s="17">
        <f>IF(M67-M70&lt;0.5,0,M67-M70)</f>
        <v>0</v>
      </c>
      <c r="C76" s="17">
        <f t="shared" ref="C76:M76" si="30">IF(B76-B79&lt;0.5,0,B76-B79)</f>
        <v>0</v>
      </c>
      <c r="D76" s="17">
        <f t="shared" si="30"/>
        <v>0</v>
      </c>
      <c r="E76" s="17">
        <f t="shared" si="30"/>
        <v>0</v>
      </c>
      <c r="F76" s="17">
        <f t="shared" si="30"/>
        <v>0</v>
      </c>
      <c r="G76" s="17">
        <f t="shared" si="30"/>
        <v>0</v>
      </c>
      <c r="H76" s="17">
        <f t="shared" si="30"/>
        <v>0</v>
      </c>
      <c r="I76" s="17">
        <f t="shared" si="30"/>
        <v>0</v>
      </c>
      <c r="J76" s="17">
        <f t="shared" si="30"/>
        <v>0</v>
      </c>
      <c r="K76" s="17">
        <f t="shared" si="30"/>
        <v>0</v>
      </c>
      <c r="L76" s="17">
        <f t="shared" si="30"/>
        <v>0</v>
      </c>
      <c r="M76" s="17">
        <f t="shared" si="30"/>
        <v>0</v>
      </c>
      <c r="O76" s="17">
        <f>M76</f>
        <v>0</v>
      </c>
    </row>
    <row r="77" spans="1:16" ht="15" customHeight="1" x14ac:dyDescent="0.25">
      <c r="A77" s="22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O77" s="16"/>
    </row>
    <row r="78" spans="1:16" ht="15" customHeight="1" x14ac:dyDescent="0.25">
      <c r="A78" s="22" t="str">
        <f>Vertaling!$B$25</f>
        <v>Kosten rente per maand</v>
      </c>
      <c r="B78" s="16">
        <f t="shared" ref="B78:M78" si="31">IF(B76&lt;0.001,0,Rentekosten*B76)</f>
        <v>0</v>
      </c>
      <c r="C78" s="16">
        <f t="shared" si="31"/>
        <v>0</v>
      </c>
      <c r="D78" s="16">
        <f t="shared" si="31"/>
        <v>0</v>
      </c>
      <c r="E78" s="16">
        <f t="shared" si="31"/>
        <v>0</v>
      </c>
      <c r="F78" s="16">
        <f t="shared" si="31"/>
        <v>0</v>
      </c>
      <c r="G78" s="16">
        <f t="shared" si="31"/>
        <v>0</v>
      </c>
      <c r="H78" s="16">
        <f t="shared" si="31"/>
        <v>0</v>
      </c>
      <c r="I78" s="16">
        <f t="shared" si="31"/>
        <v>0</v>
      </c>
      <c r="J78" s="16">
        <f t="shared" si="31"/>
        <v>0</v>
      </c>
      <c r="K78" s="16">
        <f t="shared" si="31"/>
        <v>0</v>
      </c>
      <c r="L78" s="16">
        <f t="shared" si="31"/>
        <v>0</v>
      </c>
      <c r="M78" s="16">
        <f t="shared" si="31"/>
        <v>0</v>
      </c>
      <c r="O78" s="16">
        <f>SUM(B78:M78)</f>
        <v>0</v>
      </c>
    </row>
    <row r="79" spans="1:16" ht="15" customHeight="1" thickBot="1" x14ac:dyDescent="0.3">
      <c r="A79" s="22" t="str">
        <f>Vertaling!$B$26</f>
        <v>Aflossing per maand</v>
      </c>
      <c r="B79" s="36">
        <f t="shared" ref="B79:M79" si="32">IF(B76&lt;0.001,0,IF(B75&lt;$C$11+1,0,IF($G$7="Lineair",Aflossingsbedrag,IF($G$7="Annuïteit",IFERROR($G$11-Rentekosten*(B76),0),0))))</f>
        <v>0</v>
      </c>
      <c r="C79" s="36">
        <f t="shared" si="32"/>
        <v>0</v>
      </c>
      <c r="D79" s="36">
        <f t="shared" si="32"/>
        <v>0</v>
      </c>
      <c r="E79" s="36">
        <f t="shared" si="32"/>
        <v>0</v>
      </c>
      <c r="F79" s="36">
        <f t="shared" si="32"/>
        <v>0</v>
      </c>
      <c r="G79" s="36">
        <f t="shared" si="32"/>
        <v>0</v>
      </c>
      <c r="H79" s="36">
        <f t="shared" si="32"/>
        <v>0</v>
      </c>
      <c r="I79" s="36">
        <f t="shared" si="32"/>
        <v>0</v>
      </c>
      <c r="J79" s="36">
        <f t="shared" si="32"/>
        <v>0</v>
      </c>
      <c r="K79" s="36">
        <f t="shared" si="32"/>
        <v>0</v>
      </c>
      <c r="L79" s="36">
        <f t="shared" si="32"/>
        <v>0</v>
      </c>
      <c r="M79" s="36">
        <f t="shared" si="32"/>
        <v>0</v>
      </c>
      <c r="N79" s="38"/>
      <c r="O79" s="39">
        <f>SUM(B79:M79)</f>
        <v>0</v>
      </c>
    </row>
    <row r="80" spans="1:16" ht="15" customHeight="1" thickTop="1" x14ac:dyDescent="0.25">
      <c r="A80" s="27" t="str">
        <f>Vertaling!$B$29</f>
        <v>Te betalen per maand</v>
      </c>
      <c r="B80" s="17">
        <f t="shared" ref="B80:M80" si="33">SUM(B78:B79)</f>
        <v>0</v>
      </c>
      <c r="C80" s="17">
        <f t="shared" si="33"/>
        <v>0</v>
      </c>
      <c r="D80" s="17">
        <f t="shared" si="33"/>
        <v>0</v>
      </c>
      <c r="E80" s="17">
        <f t="shared" si="33"/>
        <v>0</v>
      </c>
      <c r="F80" s="17">
        <f t="shared" si="33"/>
        <v>0</v>
      </c>
      <c r="G80" s="17">
        <f t="shared" si="33"/>
        <v>0</v>
      </c>
      <c r="H80" s="17">
        <f t="shared" si="33"/>
        <v>0</v>
      </c>
      <c r="I80" s="17">
        <f t="shared" si="33"/>
        <v>0</v>
      </c>
      <c r="J80" s="17">
        <f t="shared" si="33"/>
        <v>0</v>
      </c>
      <c r="K80" s="17">
        <f t="shared" si="33"/>
        <v>0</v>
      </c>
      <c r="L80" s="17">
        <f t="shared" si="33"/>
        <v>0</v>
      </c>
      <c r="M80" s="17">
        <f t="shared" si="33"/>
        <v>0</v>
      </c>
      <c r="O80" s="17">
        <f>SUM(O78:O79)</f>
        <v>0</v>
      </c>
    </row>
    <row r="81" spans="1:16" hidden="1" x14ac:dyDescent="0.25">
      <c r="A81" s="20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O81" s="17"/>
    </row>
    <row r="82" spans="1:16" ht="16.5" hidden="1" customHeight="1" x14ac:dyDescent="0.25">
      <c r="A82" s="27" t="s">
        <v>23</v>
      </c>
      <c r="B82" s="16">
        <f>IF(B76&lt;0.001,0,dropdown!$D$20*B76)</f>
        <v>0</v>
      </c>
      <c r="C82" s="16">
        <f>IF(C76&lt;0.001,0,dropdown!$D$20*C76)</f>
        <v>0</v>
      </c>
      <c r="D82" s="16">
        <f>IF(D76&lt;0.001,0,dropdown!$D$20*D76)</f>
        <v>0</v>
      </c>
      <c r="E82" s="16">
        <f>IF(E76&lt;0.001,0,dropdown!$D$20*E76)</f>
        <v>0</v>
      </c>
      <c r="F82" s="16">
        <f>IF(F76&lt;0.001,0,dropdown!$D$20*F76)</f>
        <v>0</v>
      </c>
      <c r="G82" s="16">
        <f>IF(G76&lt;0.001,0,dropdown!$D$20*G76)</f>
        <v>0</v>
      </c>
      <c r="H82" s="16">
        <f>IF(H76&lt;0.001,0,dropdown!$D$20*H76)</f>
        <v>0</v>
      </c>
      <c r="I82" s="16">
        <f>IF(I76&lt;0.001,0,dropdown!$D$20*I76)</f>
        <v>0</v>
      </c>
      <c r="J82" s="16">
        <f>IF(J76&lt;0.001,0,dropdown!$D$20*J76)</f>
        <v>0</v>
      </c>
      <c r="K82" s="16">
        <f>IF(K76&lt;0.001,0,dropdown!$D$20*K76)</f>
        <v>0</v>
      </c>
      <c r="L82" s="16">
        <f>IF(L76&lt;0.001,0,dropdown!$D$20*L76)</f>
        <v>0</v>
      </c>
      <c r="M82" s="16">
        <f>IF(M76&lt;0.001,0,dropdown!$D$20*M76)</f>
        <v>0</v>
      </c>
      <c r="N82" s="16">
        <f>IF(N74&lt;0.001,0,dropdown!$D$19*N74)</f>
        <v>0</v>
      </c>
      <c r="O82" s="16">
        <f>SUM(B82:M82)*(1/(1+dropdown!$D$19))^VALUE(RIGHT(A75,2))</f>
        <v>0</v>
      </c>
    </row>
    <row r="83" spans="1:16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O83" s="13"/>
    </row>
    <row r="84" spans="1:16" x14ac:dyDescent="0.25">
      <c r="A84" s="33" t="str">
        <f>Vertaling!$B$23&amp;" "&amp;ROUNDUP(B84/12,0)</f>
        <v>Jaar 8</v>
      </c>
      <c r="B84" s="34">
        <f t="shared" ref="B84:M84" si="34">B75+12</f>
        <v>85</v>
      </c>
      <c r="C84" s="34">
        <f t="shared" si="34"/>
        <v>86</v>
      </c>
      <c r="D84" s="34">
        <f t="shared" si="34"/>
        <v>87</v>
      </c>
      <c r="E84" s="34">
        <f t="shared" si="34"/>
        <v>88</v>
      </c>
      <c r="F84" s="34">
        <f t="shared" si="34"/>
        <v>89</v>
      </c>
      <c r="G84" s="34">
        <f t="shared" si="34"/>
        <v>90</v>
      </c>
      <c r="H84" s="34">
        <f t="shared" si="34"/>
        <v>91</v>
      </c>
      <c r="I84" s="34">
        <f t="shared" si="34"/>
        <v>92</v>
      </c>
      <c r="J84" s="34">
        <f t="shared" si="34"/>
        <v>93</v>
      </c>
      <c r="K84" s="34">
        <f t="shared" si="34"/>
        <v>94</v>
      </c>
      <c r="L84" s="34">
        <f t="shared" si="34"/>
        <v>95</v>
      </c>
      <c r="M84" s="34">
        <f t="shared" si="34"/>
        <v>96</v>
      </c>
      <c r="N84" s="35"/>
      <c r="O84" s="34" t="s">
        <v>20</v>
      </c>
    </row>
    <row r="85" spans="1:16" ht="15" customHeight="1" x14ac:dyDescent="0.25">
      <c r="A85" s="22" t="str">
        <f>Vertaling!$B$24</f>
        <v>Bedrag lening begin maand</v>
      </c>
      <c r="B85" s="17">
        <f>IF(M76-M79&lt;0.5,0,M76-M79)</f>
        <v>0</v>
      </c>
      <c r="C85" s="17">
        <f t="shared" ref="C85:M85" si="35">IF(B85-B88&lt;0.5,0,B85-B88)</f>
        <v>0</v>
      </c>
      <c r="D85" s="17">
        <f t="shared" si="35"/>
        <v>0</v>
      </c>
      <c r="E85" s="17">
        <f t="shared" si="35"/>
        <v>0</v>
      </c>
      <c r="F85" s="17">
        <f t="shared" si="35"/>
        <v>0</v>
      </c>
      <c r="G85" s="17">
        <f t="shared" si="35"/>
        <v>0</v>
      </c>
      <c r="H85" s="17">
        <f t="shared" si="35"/>
        <v>0</v>
      </c>
      <c r="I85" s="17">
        <f t="shared" si="35"/>
        <v>0</v>
      </c>
      <c r="J85" s="17">
        <f t="shared" si="35"/>
        <v>0</v>
      </c>
      <c r="K85" s="17">
        <f t="shared" si="35"/>
        <v>0</v>
      </c>
      <c r="L85" s="17">
        <f t="shared" si="35"/>
        <v>0</v>
      </c>
      <c r="M85" s="17">
        <f t="shared" si="35"/>
        <v>0</v>
      </c>
      <c r="O85" s="17">
        <f>M85</f>
        <v>0</v>
      </c>
      <c r="P85" s="47"/>
    </row>
    <row r="86" spans="1:16" ht="15" customHeight="1" x14ac:dyDescent="0.25">
      <c r="A86" s="22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O86" s="16"/>
    </row>
    <row r="87" spans="1:16" ht="15" customHeight="1" x14ac:dyDescent="0.25">
      <c r="A87" s="22" t="str">
        <f>Vertaling!$B$25</f>
        <v>Kosten rente per maand</v>
      </c>
      <c r="B87" s="16">
        <f t="shared" ref="B87:M87" si="36">IF(B85&lt;0.001,0,Rentekosten*B85)</f>
        <v>0</v>
      </c>
      <c r="C87" s="16">
        <f t="shared" si="36"/>
        <v>0</v>
      </c>
      <c r="D87" s="16">
        <f t="shared" si="36"/>
        <v>0</v>
      </c>
      <c r="E87" s="16">
        <f t="shared" si="36"/>
        <v>0</v>
      </c>
      <c r="F87" s="16">
        <f t="shared" si="36"/>
        <v>0</v>
      </c>
      <c r="G87" s="16">
        <f t="shared" si="36"/>
        <v>0</v>
      </c>
      <c r="H87" s="16">
        <f t="shared" si="36"/>
        <v>0</v>
      </c>
      <c r="I87" s="16">
        <f t="shared" si="36"/>
        <v>0</v>
      </c>
      <c r="J87" s="16">
        <f t="shared" si="36"/>
        <v>0</v>
      </c>
      <c r="K87" s="16">
        <f t="shared" si="36"/>
        <v>0</v>
      </c>
      <c r="L87" s="16">
        <f t="shared" si="36"/>
        <v>0</v>
      </c>
      <c r="M87" s="16">
        <f t="shared" si="36"/>
        <v>0</v>
      </c>
      <c r="O87" s="16">
        <f>SUM(B87:M87)</f>
        <v>0</v>
      </c>
    </row>
    <row r="88" spans="1:16" ht="15" customHeight="1" thickBot="1" x14ac:dyDescent="0.3">
      <c r="A88" s="22" t="str">
        <f>Vertaling!$B$26</f>
        <v>Aflossing per maand</v>
      </c>
      <c r="B88" s="36">
        <f t="shared" ref="B88:M88" si="37">IF(B85&lt;0.001,0,IF(B84&lt;$C$11+1,0,IF($G$7="Lineair",Aflossingsbedrag,IF($G$7="Annuïteit",IFERROR($G$11-Rentekosten*(B85),0),0))))</f>
        <v>0</v>
      </c>
      <c r="C88" s="36">
        <f t="shared" si="37"/>
        <v>0</v>
      </c>
      <c r="D88" s="36">
        <f t="shared" si="37"/>
        <v>0</v>
      </c>
      <c r="E88" s="36">
        <f t="shared" si="37"/>
        <v>0</v>
      </c>
      <c r="F88" s="36">
        <f t="shared" si="37"/>
        <v>0</v>
      </c>
      <c r="G88" s="36">
        <f t="shared" si="37"/>
        <v>0</v>
      </c>
      <c r="H88" s="36">
        <f t="shared" si="37"/>
        <v>0</v>
      </c>
      <c r="I88" s="36">
        <f t="shared" si="37"/>
        <v>0</v>
      </c>
      <c r="J88" s="36">
        <f t="shared" si="37"/>
        <v>0</v>
      </c>
      <c r="K88" s="36">
        <f t="shared" si="37"/>
        <v>0</v>
      </c>
      <c r="L88" s="36">
        <f t="shared" si="37"/>
        <v>0</v>
      </c>
      <c r="M88" s="36">
        <f t="shared" si="37"/>
        <v>0</v>
      </c>
      <c r="N88" s="38"/>
      <c r="O88" s="39">
        <f>SUM(B88:M88)</f>
        <v>0</v>
      </c>
    </row>
    <row r="89" spans="1:16" ht="15" customHeight="1" thickTop="1" x14ac:dyDescent="0.25">
      <c r="A89" s="27" t="str">
        <f>Vertaling!$B$29</f>
        <v>Te betalen per maand</v>
      </c>
      <c r="B89" s="17">
        <f t="shared" ref="B89:M89" si="38">SUM(B87:B88)</f>
        <v>0</v>
      </c>
      <c r="C89" s="17">
        <f t="shared" si="38"/>
        <v>0</v>
      </c>
      <c r="D89" s="17">
        <f t="shared" si="38"/>
        <v>0</v>
      </c>
      <c r="E89" s="17">
        <f t="shared" si="38"/>
        <v>0</v>
      </c>
      <c r="F89" s="17">
        <f t="shared" si="38"/>
        <v>0</v>
      </c>
      <c r="G89" s="17">
        <f t="shared" si="38"/>
        <v>0</v>
      </c>
      <c r="H89" s="17">
        <f t="shared" si="38"/>
        <v>0</v>
      </c>
      <c r="I89" s="17">
        <f t="shared" si="38"/>
        <v>0</v>
      </c>
      <c r="J89" s="17">
        <f t="shared" si="38"/>
        <v>0</v>
      </c>
      <c r="K89" s="17">
        <f t="shared" si="38"/>
        <v>0</v>
      </c>
      <c r="L89" s="17">
        <f t="shared" si="38"/>
        <v>0</v>
      </c>
      <c r="M89" s="17">
        <f t="shared" si="38"/>
        <v>0</v>
      </c>
      <c r="O89" s="17">
        <f>SUM(O87:O88)</f>
        <v>0</v>
      </c>
    </row>
    <row r="90" spans="1:16" hidden="1" x14ac:dyDescent="0.25">
      <c r="A90" s="20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O90" s="17"/>
    </row>
    <row r="91" spans="1:16" ht="16.5" hidden="1" customHeight="1" x14ac:dyDescent="0.25">
      <c r="A91" s="27" t="s">
        <v>23</v>
      </c>
      <c r="B91" s="16">
        <f>IF(B85&lt;0.001,0,dropdown!$D$20*B85)</f>
        <v>0</v>
      </c>
      <c r="C91" s="16">
        <f>IF(C85&lt;0.001,0,dropdown!$D$20*C85)</f>
        <v>0</v>
      </c>
      <c r="D91" s="16">
        <f>IF(D85&lt;0.001,0,dropdown!$D$20*D85)</f>
        <v>0</v>
      </c>
      <c r="E91" s="16">
        <f>IF(E85&lt;0.001,0,dropdown!$D$20*E85)</f>
        <v>0</v>
      </c>
      <c r="F91" s="16">
        <f>IF(F85&lt;0.001,0,dropdown!$D$20*F85)</f>
        <v>0</v>
      </c>
      <c r="G91" s="16">
        <f>IF(G85&lt;0.001,0,dropdown!$D$20*G85)</f>
        <v>0</v>
      </c>
      <c r="H91" s="16">
        <f>IF(H85&lt;0.001,0,dropdown!$D$20*H85)</f>
        <v>0</v>
      </c>
      <c r="I91" s="16">
        <f>IF(I85&lt;0.001,0,dropdown!$D$20*I85)</f>
        <v>0</v>
      </c>
      <c r="J91" s="16">
        <f>IF(J85&lt;0.001,0,dropdown!$D$20*J85)</f>
        <v>0</v>
      </c>
      <c r="K91" s="16">
        <f>IF(K85&lt;0.001,0,dropdown!$D$20*K85)</f>
        <v>0</v>
      </c>
      <c r="L91" s="16">
        <f>IF(L85&lt;0.001,0,dropdown!$D$20*L85)</f>
        <v>0</v>
      </c>
      <c r="M91" s="16">
        <f>IF(M85&lt;0.001,0,dropdown!$D$20*M85)</f>
        <v>0</v>
      </c>
      <c r="N91" s="16">
        <f>IF(N83&lt;0.001,0,dropdown!$D$19*N83)</f>
        <v>0</v>
      </c>
      <c r="O91" s="16">
        <f>SUM(B91:M91)*(1/(1+dropdown!$D$19))^VALUE(RIGHT(A84,2))</f>
        <v>0</v>
      </c>
    </row>
    <row r="92" spans="1:16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O92" s="13"/>
    </row>
    <row r="93" spans="1:16" x14ac:dyDescent="0.25">
      <c r="A93" s="33" t="str">
        <f>Vertaling!$B$23&amp;" "&amp;ROUNDUP(B93/12,0)</f>
        <v>Jaar 9</v>
      </c>
      <c r="B93" s="34">
        <f t="shared" ref="B93:M93" si="39">B84+12</f>
        <v>97</v>
      </c>
      <c r="C93" s="34">
        <f t="shared" si="39"/>
        <v>98</v>
      </c>
      <c r="D93" s="34">
        <f t="shared" si="39"/>
        <v>99</v>
      </c>
      <c r="E93" s="34">
        <f t="shared" si="39"/>
        <v>100</v>
      </c>
      <c r="F93" s="34">
        <f t="shared" si="39"/>
        <v>101</v>
      </c>
      <c r="G93" s="34">
        <f t="shared" si="39"/>
        <v>102</v>
      </c>
      <c r="H93" s="34">
        <f t="shared" si="39"/>
        <v>103</v>
      </c>
      <c r="I93" s="34">
        <f t="shared" si="39"/>
        <v>104</v>
      </c>
      <c r="J93" s="34">
        <f t="shared" si="39"/>
        <v>105</v>
      </c>
      <c r="K93" s="34">
        <f t="shared" si="39"/>
        <v>106</v>
      </c>
      <c r="L93" s="34">
        <f t="shared" si="39"/>
        <v>107</v>
      </c>
      <c r="M93" s="34">
        <f t="shared" si="39"/>
        <v>108</v>
      </c>
      <c r="N93" s="35"/>
      <c r="O93" s="34" t="s">
        <v>20</v>
      </c>
    </row>
    <row r="94" spans="1:16" ht="15" customHeight="1" x14ac:dyDescent="0.25">
      <c r="A94" s="22" t="str">
        <f>Vertaling!$B$24</f>
        <v>Bedrag lening begin maand</v>
      </c>
      <c r="B94" s="17">
        <f>IF(M85-M88&lt;0.5,0,M85-M88)</f>
        <v>0</v>
      </c>
      <c r="C94" s="17">
        <f t="shared" ref="C94:M94" si="40">IF(B94-B97&lt;0.5,0,B94-B97)</f>
        <v>0</v>
      </c>
      <c r="D94" s="17">
        <f t="shared" si="40"/>
        <v>0</v>
      </c>
      <c r="E94" s="17">
        <f t="shared" si="40"/>
        <v>0</v>
      </c>
      <c r="F94" s="17">
        <f t="shared" si="40"/>
        <v>0</v>
      </c>
      <c r="G94" s="17">
        <f t="shared" si="40"/>
        <v>0</v>
      </c>
      <c r="H94" s="17">
        <f t="shared" si="40"/>
        <v>0</v>
      </c>
      <c r="I94" s="17">
        <f t="shared" si="40"/>
        <v>0</v>
      </c>
      <c r="J94" s="17">
        <f t="shared" si="40"/>
        <v>0</v>
      </c>
      <c r="K94" s="17">
        <f t="shared" si="40"/>
        <v>0</v>
      </c>
      <c r="L94" s="17">
        <f t="shared" si="40"/>
        <v>0</v>
      </c>
      <c r="M94" s="17">
        <f t="shared" si="40"/>
        <v>0</v>
      </c>
      <c r="O94" s="17">
        <f>M94</f>
        <v>0</v>
      </c>
    </row>
    <row r="95" spans="1:16" x14ac:dyDescent="0.25">
      <c r="A95" s="22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O95" s="16"/>
    </row>
    <row r="96" spans="1:16" x14ac:dyDescent="0.25">
      <c r="A96" s="22" t="str">
        <f>Vertaling!$B$25</f>
        <v>Kosten rente per maand</v>
      </c>
      <c r="B96" s="16">
        <f t="shared" ref="B96:M96" si="41">IF(B94&lt;0.001,0,Rentekosten*B94)</f>
        <v>0</v>
      </c>
      <c r="C96" s="16">
        <f t="shared" si="41"/>
        <v>0</v>
      </c>
      <c r="D96" s="16">
        <f t="shared" si="41"/>
        <v>0</v>
      </c>
      <c r="E96" s="16">
        <f t="shared" si="41"/>
        <v>0</v>
      </c>
      <c r="F96" s="16">
        <f t="shared" si="41"/>
        <v>0</v>
      </c>
      <c r="G96" s="16">
        <f t="shared" si="41"/>
        <v>0</v>
      </c>
      <c r="H96" s="16">
        <f t="shared" si="41"/>
        <v>0</v>
      </c>
      <c r="I96" s="16">
        <f t="shared" si="41"/>
        <v>0</v>
      </c>
      <c r="J96" s="16">
        <f t="shared" si="41"/>
        <v>0</v>
      </c>
      <c r="K96" s="16">
        <f t="shared" si="41"/>
        <v>0</v>
      </c>
      <c r="L96" s="16">
        <f t="shared" si="41"/>
        <v>0</v>
      </c>
      <c r="M96" s="16">
        <f t="shared" si="41"/>
        <v>0</v>
      </c>
      <c r="O96" s="16">
        <f>SUM(B96:M96)</f>
        <v>0</v>
      </c>
    </row>
    <row r="97" spans="1:16" ht="15.75" thickBot="1" x14ac:dyDescent="0.3">
      <c r="A97" s="22" t="str">
        <f>Vertaling!$B$26</f>
        <v>Aflossing per maand</v>
      </c>
      <c r="B97" s="36">
        <f t="shared" ref="B97:M97" si="42">IF(B94&lt;0.001,0,IF(B93&lt;$C$11+1,0,IF($G$7="Lineair",Aflossingsbedrag,IF($G$7="Annuïteit",IFERROR($G$11-Rentekosten*(B94),0),0))))</f>
        <v>0</v>
      </c>
      <c r="C97" s="36">
        <f t="shared" si="42"/>
        <v>0</v>
      </c>
      <c r="D97" s="36">
        <f t="shared" si="42"/>
        <v>0</v>
      </c>
      <c r="E97" s="36">
        <f t="shared" si="42"/>
        <v>0</v>
      </c>
      <c r="F97" s="36">
        <f t="shared" si="42"/>
        <v>0</v>
      </c>
      <c r="G97" s="36">
        <f t="shared" si="42"/>
        <v>0</v>
      </c>
      <c r="H97" s="36">
        <f t="shared" si="42"/>
        <v>0</v>
      </c>
      <c r="I97" s="36">
        <f t="shared" si="42"/>
        <v>0</v>
      </c>
      <c r="J97" s="36">
        <f t="shared" si="42"/>
        <v>0</v>
      </c>
      <c r="K97" s="36">
        <f t="shared" si="42"/>
        <v>0</v>
      </c>
      <c r="L97" s="36">
        <f t="shared" si="42"/>
        <v>0</v>
      </c>
      <c r="M97" s="36">
        <f t="shared" si="42"/>
        <v>0</v>
      </c>
      <c r="N97" s="38"/>
      <c r="O97" s="39">
        <f>SUM(B97:M97)</f>
        <v>0</v>
      </c>
    </row>
    <row r="98" spans="1:16" ht="15.75" thickTop="1" x14ac:dyDescent="0.25">
      <c r="A98" s="27" t="str">
        <f>Vertaling!$B$29</f>
        <v>Te betalen per maand</v>
      </c>
      <c r="B98" s="17">
        <f t="shared" ref="B98:M98" si="43">SUM(B96:B97)</f>
        <v>0</v>
      </c>
      <c r="C98" s="17">
        <f t="shared" si="43"/>
        <v>0</v>
      </c>
      <c r="D98" s="17">
        <f t="shared" si="43"/>
        <v>0</v>
      </c>
      <c r="E98" s="17">
        <f t="shared" si="43"/>
        <v>0</v>
      </c>
      <c r="F98" s="17">
        <f t="shared" si="43"/>
        <v>0</v>
      </c>
      <c r="G98" s="17">
        <f t="shared" si="43"/>
        <v>0</v>
      </c>
      <c r="H98" s="17">
        <f t="shared" si="43"/>
        <v>0</v>
      </c>
      <c r="I98" s="17">
        <f t="shared" si="43"/>
        <v>0</v>
      </c>
      <c r="J98" s="17">
        <f t="shared" si="43"/>
        <v>0</v>
      </c>
      <c r="K98" s="17">
        <f t="shared" si="43"/>
        <v>0</v>
      </c>
      <c r="L98" s="17">
        <f t="shared" si="43"/>
        <v>0</v>
      </c>
      <c r="M98" s="17">
        <f t="shared" si="43"/>
        <v>0</v>
      </c>
      <c r="O98" s="17">
        <f>SUM(O96:O97)</f>
        <v>0</v>
      </c>
    </row>
    <row r="99" spans="1:16" hidden="1" x14ac:dyDescent="0.25">
      <c r="A99" s="20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O99" s="17"/>
    </row>
    <row r="100" spans="1:16" hidden="1" x14ac:dyDescent="0.25">
      <c r="A100" s="27" t="s">
        <v>23</v>
      </c>
      <c r="B100" s="16">
        <f>IF(B94&lt;0.001,0,dropdown!$D$20*B94)</f>
        <v>0</v>
      </c>
      <c r="C100" s="16">
        <f>IF(C94&lt;0.001,0,dropdown!$D$20*C94)</f>
        <v>0</v>
      </c>
      <c r="D100" s="16">
        <f>IF(D94&lt;0.001,0,dropdown!$D$20*D94)</f>
        <v>0</v>
      </c>
      <c r="E100" s="16">
        <f>IF(E94&lt;0.001,0,dropdown!$D$20*E94)</f>
        <v>0</v>
      </c>
      <c r="F100" s="16">
        <f>IF(F94&lt;0.001,0,dropdown!$D$20*F94)</f>
        <v>0</v>
      </c>
      <c r="G100" s="16">
        <f>IF(G94&lt;0.001,0,dropdown!$D$20*G94)</f>
        <v>0</v>
      </c>
      <c r="H100" s="16">
        <f>IF(H94&lt;0.001,0,dropdown!$D$20*H94)</f>
        <v>0</v>
      </c>
      <c r="I100" s="16">
        <f>IF(I94&lt;0.001,0,dropdown!$D$20*I94)</f>
        <v>0</v>
      </c>
      <c r="J100" s="16">
        <f>IF(J94&lt;0.001,0,dropdown!$D$20*J94)</f>
        <v>0</v>
      </c>
      <c r="K100" s="16">
        <f>IF(K94&lt;0.001,0,dropdown!$D$20*K94)</f>
        <v>0</v>
      </c>
      <c r="L100" s="16">
        <f>IF(L94&lt;0.001,0,dropdown!$D$20*L94)</f>
        <v>0</v>
      </c>
      <c r="M100" s="16">
        <f>IF(M94&lt;0.001,0,dropdown!$D$20*M94)</f>
        <v>0</v>
      </c>
      <c r="N100" s="16">
        <f>IF(N92&lt;0.001,0,dropdown!$D$19*N92)</f>
        <v>0</v>
      </c>
      <c r="O100" s="16">
        <f>SUM(B100:M100)*(1/(1+dropdown!$D$19))^VALUE(RIGHT(A93,2))</f>
        <v>0</v>
      </c>
    </row>
    <row r="101" spans="1:16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O101" s="13"/>
    </row>
    <row r="102" spans="1:16" x14ac:dyDescent="0.25">
      <c r="A102" s="33" t="str">
        <f>Vertaling!$B$23&amp;" "&amp;ROUNDUP(B102/12,0)</f>
        <v>Jaar 10</v>
      </c>
      <c r="B102" s="34">
        <f t="shared" ref="B102:M102" si="44">B93+12</f>
        <v>109</v>
      </c>
      <c r="C102" s="34">
        <f t="shared" si="44"/>
        <v>110</v>
      </c>
      <c r="D102" s="34">
        <f t="shared" si="44"/>
        <v>111</v>
      </c>
      <c r="E102" s="34">
        <f t="shared" si="44"/>
        <v>112</v>
      </c>
      <c r="F102" s="34">
        <f t="shared" si="44"/>
        <v>113</v>
      </c>
      <c r="G102" s="34">
        <f t="shared" si="44"/>
        <v>114</v>
      </c>
      <c r="H102" s="34">
        <f t="shared" si="44"/>
        <v>115</v>
      </c>
      <c r="I102" s="34">
        <f t="shared" si="44"/>
        <v>116</v>
      </c>
      <c r="J102" s="34">
        <f t="shared" si="44"/>
        <v>117</v>
      </c>
      <c r="K102" s="34">
        <f t="shared" si="44"/>
        <v>118</v>
      </c>
      <c r="L102" s="34">
        <f t="shared" si="44"/>
        <v>119</v>
      </c>
      <c r="M102" s="34">
        <f t="shared" si="44"/>
        <v>120</v>
      </c>
      <c r="N102" s="35"/>
      <c r="O102" s="34" t="s">
        <v>20</v>
      </c>
    </row>
    <row r="103" spans="1:16" x14ac:dyDescent="0.25">
      <c r="A103" s="22" t="str">
        <f>Vertaling!$B$24</f>
        <v>Bedrag lening begin maand</v>
      </c>
      <c r="B103" s="17">
        <f>IF(M94-M97&lt;0.5,0,M94-M97)</f>
        <v>0</v>
      </c>
      <c r="C103" s="17">
        <f t="shared" ref="C103:M103" si="45">IF(B103-B106&lt;0.5,0,B103-B106)</f>
        <v>0</v>
      </c>
      <c r="D103" s="17">
        <f t="shared" si="45"/>
        <v>0</v>
      </c>
      <c r="E103" s="17">
        <f t="shared" si="45"/>
        <v>0</v>
      </c>
      <c r="F103" s="17">
        <f t="shared" si="45"/>
        <v>0</v>
      </c>
      <c r="G103" s="17">
        <f t="shared" si="45"/>
        <v>0</v>
      </c>
      <c r="H103" s="17">
        <f t="shared" si="45"/>
        <v>0</v>
      </c>
      <c r="I103" s="17">
        <f t="shared" si="45"/>
        <v>0</v>
      </c>
      <c r="J103" s="17">
        <f t="shared" si="45"/>
        <v>0</v>
      </c>
      <c r="K103" s="17">
        <f t="shared" si="45"/>
        <v>0</v>
      </c>
      <c r="L103" s="17">
        <f t="shared" si="45"/>
        <v>0</v>
      </c>
      <c r="M103" s="17">
        <f t="shared" si="45"/>
        <v>0</v>
      </c>
      <c r="O103" s="17">
        <f>M103</f>
        <v>0</v>
      </c>
      <c r="P103" s="47"/>
    </row>
    <row r="104" spans="1:16" x14ac:dyDescent="0.25">
      <c r="A104" s="22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O104" s="16"/>
    </row>
    <row r="105" spans="1:16" x14ac:dyDescent="0.25">
      <c r="A105" s="22" t="str">
        <f>Vertaling!$B$25</f>
        <v>Kosten rente per maand</v>
      </c>
      <c r="B105" s="16">
        <f t="shared" ref="B105:M105" si="46">IF(B103&lt;0.001,0,Rentekosten*B103)</f>
        <v>0</v>
      </c>
      <c r="C105" s="16">
        <f t="shared" si="46"/>
        <v>0</v>
      </c>
      <c r="D105" s="16">
        <f t="shared" si="46"/>
        <v>0</v>
      </c>
      <c r="E105" s="16">
        <f t="shared" si="46"/>
        <v>0</v>
      </c>
      <c r="F105" s="16">
        <f t="shared" si="46"/>
        <v>0</v>
      </c>
      <c r="G105" s="16">
        <f t="shared" si="46"/>
        <v>0</v>
      </c>
      <c r="H105" s="16">
        <f t="shared" si="46"/>
        <v>0</v>
      </c>
      <c r="I105" s="16">
        <f t="shared" si="46"/>
        <v>0</v>
      </c>
      <c r="J105" s="16">
        <f t="shared" si="46"/>
        <v>0</v>
      </c>
      <c r="K105" s="16">
        <f t="shared" si="46"/>
        <v>0</v>
      </c>
      <c r="L105" s="16">
        <f t="shared" si="46"/>
        <v>0</v>
      </c>
      <c r="M105" s="16">
        <f t="shared" si="46"/>
        <v>0</v>
      </c>
      <c r="O105" s="16">
        <f>SUM(B105:M105)</f>
        <v>0</v>
      </c>
    </row>
    <row r="106" spans="1:16" ht="15.75" thickBot="1" x14ac:dyDescent="0.3">
      <c r="A106" s="22" t="str">
        <f>Vertaling!$B$26</f>
        <v>Aflossing per maand</v>
      </c>
      <c r="B106" s="36">
        <f t="shared" ref="B106:M106" si="47">IF(B103&lt;0.001,0,IF(B102&lt;$C$11+1,0,IF($G$7="Lineair",Aflossingsbedrag,IF($G$7="Annuïteit",IFERROR($G$11-Rentekosten*(B103),0),0))))</f>
        <v>0</v>
      </c>
      <c r="C106" s="36">
        <f t="shared" si="47"/>
        <v>0</v>
      </c>
      <c r="D106" s="36">
        <f t="shared" si="47"/>
        <v>0</v>
      </c>
      <c r="E106" s="36">
        <f t="shared" si="47"/>
        <v>0</v>
      </c>
      <c r="F106" s="36">
        <f t="shared" si="47"/>
        <v>0</v>
      </c>
      <c r="G106" s="36">
        <f t="shared" si="47"/>
        <v>0</v>
      </c>
      <c r="H106" s="36">
        <f t="shared" si="47"/>
        <v>0</v>
      </c>
      <c r="I106" s="36">
        <f t="shared" si="47"/>
        <v>0</v>
      </c>
      <c r="J106" s="36">
        <f t="shared" si="47"/>
        <v>0</v>
      </c>
      <c r="K106" s="36">
        <f t="shared" si="47"/>
        <v>0</v>
      </c>
      <c r="L106" s="36">
        <f t="shared" si="47"/>
        <v>0</v>
      </c>
      <c r="M106" s="36">
        <f t="shared" si="47"/>
        <v>0</v>
      </c>
      <c r="N106" s="38"/>
      <c r="O106" s="39">
        <f>SUM(B106:M106)</f>
        <v>0</v>
      </c>
    </row>
    <row r="107" spans="1:16" ht="15.75" thickTop="1" x14ac:dyDescent="0.25">
      <c r="A107" s="27" t="str">
        <f>Vertaling!$B$29</f>
        <v>Te betalen per maand</v>
      </c>
      <c r="B107" s="17">
        <f t="shared" ref="B107:M107" si="48">SUM(B105:B106)</f>
        <v>0</v>
      </c>
      <c r="C107" s="17">
        <f t="shared" si="48"/>
        <v>0</v>
      </c>
      <c r="D107" s="17">
        <f t="shared" si="48"/>
        <v>0</v>
      </c>
      <c r="E107" s="17">
        <f t="shared" si="48"/>
        <v>0</v>
      </c>
      <c r="F107" s="17">
        <f t="shared" si="48"/>
        <v>0</v>
      </c>
      <c r="G107" s="17">
        <f t="shared" si="48"/>
        <v>0</v>
      </c>
      <c r="H107" s="17">
        <f t="shared" si="48"/>
        <v>0</v>
      </c>
      <c r="I107" s="17">
        <f t="shared" si="48"/>
        <v>0</v>
      </c>
      <c r="J107" s="17">
        <f t="shared" si="48"/>
        <v>0</v>
      </c>
      <c r="K107" s="17">
        <f t="shared" si="48"/>
        <v>0</v>
      </c>
      <c r="L107" s="17">
        <f t="shared" si="48"/>
        <v>0</v>
      </c>
      <c r="M107" s="17">
        <f t="shared" si="48"/>
        <v>0</v>
      </c>
      <c r="O107" s="17">
        <f>SUM(O105:O106)</f>
        <v>0</v>
      </c>
    </row>
    <row r="108" spans="1:16" hidden="1" x14ac:dyDescent="0.25">
      <c r="A108" s="20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O108" s="17"/>
    </row>
    <row r="109" spans="1:16" hidden="1" x14ac:dyDescent="0.25">
      <c r="A109" s="27" t="s">
        <v>23</v>
      </c>
      <c r="B109" s="16">
        <f>IF(B103&lt;0.001,0,dropdown!$D$20*B103)</f>
        <v>0</v>
      </c>
      <c r="C109" s="16">
        <f>IF(C103&lt;0.001,0,dropdown!$D$20*C103)</f>
        <v>0</v>
      </c>
      <c r="D109" s="16">
        <f>IF(D103&lt;0.001,0,dropdown!$D$20*D103)</f>
        <v>0</v>
      </c>
      <c r="E109" s="16">
        <f>IF(E103&lt;0.001,0,dropdown!$D$20*E103)</f>
        <v>0</v>
      </c>
      <c r="F109" s="16">
        <f>IF(F103&lt;0.001,0,dropdown!$D$20*F103)</f>
        <v>0</v>
      </c>
      <c r="G109" s="16">
        <f>IF(G103&lt;0.001,0,dropdown!$D$20*G103)</f>
        <v>0</v>
      </c>
      <c r="H109" s="16">
        <f>IF(H103&lt;0.001,0,dropdown!$D$20*H103)</f>
        <v>0</v>
      </c>
      <c r="I109" s="16">
        <f>IF(I103&lt;0.001,0,dropdown!$D$20*I103)</f>
        <v>0</v>
      </c>
      <c r="J109" s="16">
        <f>IF(J103&lt;0.001,0,dropdown!$D$20*J103)</f>
        <v>0</v>
      </c>
      <c r="K109" s="16">
        <f>IF(K103&lt;0.001,0,dropdown!$D$20*K103)</f>
        <v>0</v>
      </c>
      <c r="L109" s="16">
        <f>IF(L103&lt;0.001,0,dropdown!$D$20*L103)</f>
        <v>0</v>
      </c>
      <c r="M109" s="16">
        <f>IF(M103&lt;0.001,0,dropdown!$D$20*M103)</f>
        <v>0</v>
      </c>
      <c r="N109" s="16">
        <f>IF(N101&lt;0.001,0,dropdown!$D$19*N101)</f>
        <v>0</v>
      </c>
      <c r="O109" s="16">
        <f>SUM(B109:M109)*(1/(1+dropdown!$D$19))^VALUE(RIGHT(A102,2))</f>
        <v>0</v>
      </c>
    </row>
    <row r="110" spans="1:16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O110" s="13"/>
    </row>
    <row r="111" spans="1:16" x14ac:dyDescent="0.25">
      <c r="A111" s="33" t="str">
        <f>Vertaling!$B$23&amp;" "&amp;ROUNDUP(B111/12,0)</f>
        <v>Jaar 11</v>
      </c>
      <c r="B111" s="34">
        <f t="shared" ref="B111:M111" si="49">B102+12</f>
        <v>121</v>
      </c>
      <c r="C111" s="34">
        <f t="shared" si="49"/>
        <v>122</v>
      </c>
      <c r="D111" s="34">
        <f t="shared" si="49"/>
        <v>123</v>
      </c>
      <c r="E111" s="34">
        <f t="shared" si="49"/>
        <v>124</v>
      </c>
      <c r="F111" s="34">
        <f t="shared" si="49"/>
        <v>125</v>
      </c>
      <c r="G111" s="34">
        <f t="shared" si="49"/>
        <v>126</v>
      </c>
      <c r="H111" s="34">
        <f t="shared" si="49"/>
        <v>127</v>
      </c>
      <c r="I111" s="34">
        <f t="shared" si="49"/>
        <v>128</v>
      </c>
      <c r="J111" s="34">
        <f t="shared" si="49"/>
        <v>129</v>
      </c>
      <c r="K111" s="34">
        <f t="shared" si="49"/>
        <v>130</v>
      </c>
      <c r="L111" s="34">
        <f t="shared" si="49"/>
        <v>131</v>
      </c>
      <c r="M111" s="34">
        <f t="shared" si="49"/>
        <v>132</v>
      </c>
      <c r="N111" s="35"/>
      <c r="O111" s="34" t="s">
        <v>20</v>
      </c>
    </row>
    <row r="112" spans="1:16" x14ac:dyDescent="0.25">
      <c r="A112" s="22" t="str">
        <f>Vertaling!$B$24</f>
        <v>Bedrag lening begin maand</v>
      </c>
      <c r="B112" s="17">
        <f>IF(M103-M106&lt;0.5,0,M103-M106)</f>
        <v>0</v>
      </c>
      <c r="C112" s="17">
        <f t="shared" ref="C112:M112" si="50">IF(B112-B115&lt;0.5,0,B112-B115)</f>
        <v>0</v>
      </c>
      <c r="D112" s="17">
        <f t="shared" si="50"/>
        <v>0</v>
      </c>
      <c r="E112" s="17">
        <f t="shared" si="50"/>
        <v>0</v>
      </c>
      <c r="F112" s="17">
        <f t="shared" si="50"/>
        <v>0</v>
      </c>
      <c r="G112" s="17">
        <f t="shared" si="50"/>
        <v>0</v>
      </c>
      <c r="H112" s="17">
        <f t="shared" si="50"/>
        <v>0</v>
      </c>
      <c r="I112" s="17">
        <f t="shared" si="50"/>
        <v>0</v>
      </c>
      <c r="J112" s="17">
        <f t="shared" si="50"/>
        <v>0</v>
      </c>
      <c r="K112" s="17">
        <f t="shared" si="50"/>
        <v>0</v>
      </c>
      <c r="L112" s="17">
        <f t="shared" si="50"/>
        <v>0</v>
      </c>
      <c r="M112" s="17">
        <f t="shared" si="50"/>
        <v>0</v>
      </c>
      <c r="O112" s="17">
        <f>M112</f>
        <v>0</v>
      </c>
    </row>
    <row r="113" spans="1:16" x14ac:dyDescent="0.25">
      <c r="A113" s="22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O113" s="16"/>
    </row>
    <row r="114" spans="1:16" x14ac:dyDescent="0.25">
      <c r="A114" s="22" t="str">
        <f>Vertaling!$B$25</f>
        <v>Kosten rente per maand</v>
      </c>
      <c r="B114" s="16">
        <f t="shared" ref="B114:M114" si="51">IF(B112&lt;0.001,0,Rentekosten*B112)</f>
        <v>0</v>
      </c>
      <c r="C114" s="16">
        <f t="shared" si="51"/>
        <v>0</v>
      </c>
      <c r="D114" s="16">
        <f t="shared" si="51"/>
        <v>0</v>
      </c>
      <c r="E114" s="16">
        <f t="shared" si="51"/>
        <v>0</v>
      </c>
      <c r="F114" s="16">
        <f t="shared" si="51"/>
        <v>0</v>
      </c>
      <c r="G114" s="16">
        <f t="shared" si="51"/>
        <v>0</v>
      </c>
      <c r="H114" s="16">
        <f t="shared" si="51"/>
        <v>0</v>
      </c>
      <c r="I114" s="16">
        <f t="shared" si="51"/>
        <v>0</v>
      </c>
      <c r="J114" s="16">
        <f t="shared" si="51"/>
        <v>0</v>
      </c>
      <c r="K114" s="16">
        <f t="shared" si="51"/>
        <v>0</v>
      </c>
      <c r="L114" s="16">
        <f t="shared" si="51"/>
        <v>0</v>
      </c>
      <c r="M114" s="16">
        <f t="shared" si="51"/>
        <v>0</v>
      </c>
      <c r="O114" s="16">
        <f>SUM(B114:M114)</f>
        <v>0</v>
      </c>
    </row>
    <row r="115" spans="1:16" ht="15.75" thickBot="1" x14ac:dyDescent="0.3">
      <c r="A115" s="22" t="str">
        <f>Vertaling!$B$26</f>
        <v>Aflossing per maand</v>
      </c>
      <c r="B115" s="36">
        <f t="shared" ref="B115:M115" si="52">IF(B112&lt;0.001,0,IF(B111&lt;$C$11+1,0,IF($G$7="Lineair",Aflossingsbedrag,IF($G$7="Annuïteit",IFERROR($G$11-Rentekosten*(B112),0),0))))</f>
        <v>0</v>
      </c>
      <c r="C115" s="36">
        <f t="shared" si="52"/>
        <v>0</v>
      </c>
      <c r="D115" s="36">
        <f t="shared" si="52"/>
        <v>0</v>
      </c>
      <c r="E115" s="36">
        <f t="shared" si="52"/>
        <v>0</v>
      </c>
      <c r="F115" s="36">
        <f t="shared" si="52"/>
        <v>0</v>
      </c>
      <c r="G115" s="36">
        <f t="shared" si="52"/>
        <v>0</v>
      </c>
      <c r="H115" s="36">
        <f t="shared" si="52"/>
        <v>0</v>
      </c>
      <c r="I115" s="36">
        <f t="shared" si="52"/>
        <v>0</v>
      </c>
      <c r="J115" s="36">
        <f t="shared" si="52"/>
        <v>0</v>
      </c>
      <c r="K115" s="36">
        <f t="shared" si="52"/>
        <v>0</v>
      </c>
      <c r="L115" s="36">
        <f t="shared" si="52"/>
        <v>0</v>
      </c>
      <c r="M115" s="36">
        <f t="shared" si="52"/>
        <v>0</v>
      </c>
      <c r="N115" s="38"/>
      <c r="O115" s="39">
        <f>SUM(B115:M115)</f>
        <v>0</v>
      </c>
    </row>
    <row r="116" spans="1:16" ht="15.75" thickTop="1" x14ac:dyDescent="0.25">
      <c r="A116" s="27" t="str">
        <f>Vertaling!$B$29</f>
        <v>Te betalen per maand</v>
      </c>
      <c r="B116" s="17">
        <f t="shared" ref="B116:M116" si="53">SUM(B114:B115)</f>
        <v>0</v>
      </c>
      <c r="C116" s="17">
        <f t="shared" si="53"/>
        <v>0</v>
      </c>
      <c r="D116" s="17">
        <f t="shared" si="53"/>
        <v>0</v>
      </c>
      <c r="E116" s="17">
        <f t="shared" si="53"/>
        <v>0</v>
      </c>
      <c r="F116" s="17">
        <f t="shared" si="53"/>
        <v>0</v>
      </c>
      <c r="G116" s="17">
        <f t="shared" si="53"/>
        <v>0</v>
      </c>
      <c r="H116" s="17">
        <f t="shared" si="53"/>
        <v>0</v>
      </c>
      <c r="I116" s="17">
        <f t="shared" si="53"/>
        <v>0</v>
      </c>
      <c r="J116" s="17">
        <f t="shared" si="53"/>
        <v>0</v>
      </c>
      <c r="K116" s="17">
        <f t="shared" si="53"/>
        <v>0</v>
      </c>
      <c r="L116" s="17">
        <f t="shared" si="53"/>
        <v>0</v>
      </c>
      <c r="M116" s="17">
        <f t="shared" si="53"/>
        <v>0</v>
      </c>
      <c r="O116" s="17">
        <f>SUM(O114:O115)</f>
        <v>0</v>
      </c>
    </row>
    <row r="117" spans="1:16" hidden="1" x14ac:dyDescent="0.25">
      <c r="A117" s="20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O117" s="17"/>
    </row>
    <row r="118" spans="1:16" hidden="1" x14ac:dyDescent="0.25">
      <c r="A118" s="27" t="s">
        <v>23</v>
      </c>
      <c r="B118" s="16">
        <f>IF(B112&lt;0.001,0,dropdown!$D$20*B112)</f>
        <v>0</v>
      </c>
      <c r="C118" s="16">
        <f>IF(C112&lt;0.001,0,dropdown!$D$20*C112)</f>
        <v>0</v>
      </c>
      <c r="D118" s="16">
        <f>IF(D112&lt;0.001,0,dropdown!$D$20*D112)</f>
        <v>0</v>
      </c>
      <c r="E118" s="16">
        <f>IF(E112&lt;0.001,0,dropdown!$D$20*E112)</f>
        <v>0</v>
      </c>
      <c r="F118" s="16">
        <f>IF(F112&lt;0.001,0,dropdown!$D$20*F112)</f>
        <v>0</v>
      </c>
      <c r="G118" s="16">
        <f>IF(G112&lt;0.001,0,dropdown!$D$20*G112)</f>
        <v>0</v>
      </c>
      <c r="H118" s="16">
        <f>IF(H112&lt;0.001,0,dropdown!$D$20*H112)</f>
        <v>0</v>
      </c>
      <c r="I118" s="16">
        <f>IF(I112&lt;0.001,0,dropdown!$D$20*I112)</f>
        <v>0</v>
      </c>
      <c r="J118" s="16">
        <f>IF(J112&lt;0.001,0,dropdown!$D$20*J112)</f>
        <v>0</v>
      </c>
      <c r="K118" s="16">
        <f>IF(K112&lt;0.001,0,dropdown!$D$20*K112)</f>
        <v>0</v>
      </c>
      <c r="L118" s="16">
        <f>IF(L112&lt;0.001,0,dropdown!$D$20*L112)</f>
        <v>0</v>
      </c>
      <c r="M118" s="16">
        <f>IF(M112&lt;0.001,0,dropdown!$D$20*M112)</f>
        <v>0</v>
      </c>
      <c r="N118" s="16">
        <f>IF(N110&lt;0.001,0,dropdown!$D$19*N110)</f>
        <v>0</v>
      </c>
      <c r="O118" s="16">
        <f>SUM(B118:M118)*(1/(1+dropdown!$D$19))^VALUE(RIGHT(A111,2))</f>
        <v>0</v>
      </c>
    </row>
    <row r="119" spans="1:16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O119" s="13"/>
    </row>
    <row r="120" spans="1:16" x14ac:dyDescent="0.25">
      <c r="A120" s="33" t="str">
        <f>Vertaling!$B$23&amp;" "&amp;ROUNDUP(B120/12,0)</f>
        <v>Jaar 12</v>
      </c>
      <c r="B120" s="34">
        <f t="shared" ref="B120:M120" si="54">B111+12</f>
        <v>133</v>
      </c>
      <c r="C120" s="34">
        <f t="shared" si="54"/>
        <v>134</v>
      </c>
      <c r="D120" s="34">
        <f t="shared" si="54"/>
        <v>135</v>
      </c>
      <c r="E120" s="34">
        <f t="shared" si="54"/>
        <v>136</v>
      </c>
      <c r="F120" s="34">
        <f t="shared" si="54"/>
        <v>137</v>
      </c>
      <c r="G120" s="34">
        <f t="shared" si="54"/>
        <v>138</v>
      </c>
      <c r="H120" s="34">
        <f t="shared" si="54"/>
        <v>139</v>
      </c>
      <c r="I120" s="34">
        <f t="shared" si="54"/>
        <v>140</v>
      </c>
      <c r="J120" s="34">
        <f t="shared" si="54"/>
        <v>141</v>
      </c>
      <c r="K120" s="34">
        <f t="shared" si="54"/>
        <v>142</v>
      </c>
      <c r="L120" s="34">
        <f t="shared" si="54"/>
        <v>143</v>
      </c>
      <c r="M120" s="34">
        <f t="shared" si="54"/>
        <v>144</v>
      </c>
      <c r="N120" s="35"/>
      <c r="O120" s="34" t="s">
        <v>20</v>
      </c>
    </row>
    <row r="121" spans="1:16" x14ac:dyDescent="0.25">
      <c r="A121" s="22" t="str">
        <f>Vertaling!$B$24</f>
        <v>Bedrag lening begin maand</v>
      </c>
      <c r="B121" s="17">
        <f>IF(M112-M115&lt;0.5,0,M112-M115)</f>
        <v>0</v>
      </c>
      <c r="C121" s="17">
        <f t="shared" ref="C121:M121" si="55">IF(B121-B124&lt;0.5,0,B121-B124)</f>
        <v>0</v>
      </c>
      <c r="D121" s="17">
        <f t="shared" si="55"/>
        <v>0</v>
      </c>
      <c r="E121" s="17">
        <f t="shared" si="55"/>
        <v>0</v>
      </c>
      <c r="F121" s="17">
        <f t="shared" si="55"/>
        <v>0</v>
      </c>
      <c r="G121" s="17">
        <f t="shared" si="55"/>
        <v>0</v>
      </c>
      <c r="H121" s="17">
        <f t="shared" si="55"/>
        <v>0</v>
      </c>
      <c r="I121" s="17">
        <f t="shared" si="55"/>
        <v>0</v>
      </c>
      <c r="J121" s="17">
        <f t="shared" si="55"/>
        <v>0</v>
      </c>
      <c r="K121" s="17">
        <f t="shared" si="55"/>
        <v>0</v>
      </c>
      <c r="L121" s="17">
        <f t="shared" si="55"/>
        <v>0</v>
      </c>
      <c r="M121" s="17">
        <f t="shared" si="55"/>
        <v>0</v>
      </c>
      <c r="O121" s="17">
        <f>M121</f>
        <v>0</v>
      </c>
      <c r="P121" s="47"/>
    </row>
    <row r="122" spans="1:16" x14ac:dyDescent="0.25">
      <c r="A122" s="22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O122" s="16"/>
    </row>
    <row r="123" spans="1:16" x14ac:dyDescent="0.25">
      <c r="A123" s="22" t="str">
        <f>Vertaling!$B$25</f>
        <v>Kosten rente per maand</v>
      </c>
      <c r="B123" s="16">
        <f t="shared" ref="B123:M123" si="56">IF(B121&lt;0.001,0,Rentekosten*B121)</f>
        <v>0</v>
      </c>
      <c r="C123" s="16">
        <f t="shared" si="56"/>
        <v>0</v>
      </c>
      <c r="D123" s="16">
        <f t="shared" si="56"/>
        <v>0</v>
      </c>
      <c r="E123" s="16">
        <f t="shared" si="56"/>
        <v>0</v>
      </c>
      <c r="F123" s="16">
        <f t="shared" si="56"/>
        <v>0</v>
      </c>
      <c r="G123" s="16">
        <f t="shared" si="56"/>
        <v>0</v>
      </c>
      <c r="H123" s="16">
        <f t="shared" si="56"/>
        <v>0</v>
      </c>
      <c r="I123" s="16">
        <f t="shared" si="56"/>
        <v>0</v>
      </c>
      <c r="J123" s="16">
        <f t="shared" si="56"/>
        <v>0</v>
      </c>
      <c r="K123" s="16">
        <f t="shared" si="56"/>
        <v>0</v>
      </c>
      <c r="L123" s="16">
        <f t="shared" si="56"/>
        <v>0</v>
      </c>
      <c r="M123" s="16">
        <f t="shared" si="56"/>
        <v>0</v>
      </c>
      <c r="O123" s="16">
        <f>SUM(B123:M123)</f>
        <v>0</v>
      </c>
    </row>
    <row r="124" spans="1:16" ht="15.75" thickBot="1" x14ac:dyDescent="0.3">
      <c r="A124" s="22" t="str">
        <f>Vertaling!$B$26</f>
        <v>Aflossing per maand</v>
      </c>
      <c r="B124" s="36">
        <f t="shared" ref="B124:M124" si="57">IF(B121&lt;0.001,0,IF(B120&lt;$C$11+1,0,IF($G$7="Lineair",Aflossingsbedrag,IF($G$7="Annuïteit",IFERROR($G$11-Rentekosten*(B121),0),0))))</f>
        <v>0</v>
      </c>
      <c r="C124" s="36">
        <f t="shared" si="57"/>
        <v>0</v>
      </c>
      <c r="D124" s="36">
        <f t="shared" si="57"/>
        <v>0</v>
      </c>
      <c r="E124" s="36">
        <f t="shared" si="57"/>
        <v>0</v>
      </c>
      <c r="F124" s="36">
        <f t="shared" si="57"/>
        <v>0</v>
      </c>
      <c r="G124" s="36">
        <f t="shared" si="57"/>
        <v>0</v>
      </c>
      <c r="H124" s="36">
        <f t="shared" si="57"/>
        <v>0</v>
      </c>
      <c r="I124" s="36">
        <f t="shared" si="57"/>
        <v>0</v>
      </c>
      <c r="J124" s="36">
        <f t="shared" si="57"/>
        <v>0</v>
      </c>
      <c r="K124" s="36">
        <f t="shared" si="57"/>
        <v>0</v>
      </c>
      <c r="L124" s="36">
        <f t="shared" si="57"/>
        <v>0</v>
      </c>
      <c r="M124" s="36">
        <f t="shared" si="57"/>
        <v>0</v>
      </c>
      <c r="N124" s="38"/>
      <c r="O124" s="39">
        <f>SUM(B124:M124)</f>
        <v>0</v>
      </c>
    </row>
    <row r="125" spans="1:16" ht="15.75" thickTop="1" x14ac:dyDescent="0.25">
      <c r="A125" s="27" t="str">
        <f>Vertaling!$B$29</f>
        <v>Te betalen per maand</v>
      </c>
      <c r="B125" s="17">
        <f t="shared" ref="B125:M125" si="58">SUM(B123:B124)</f>
        <v>0</v>
      </c>
      <c r="C125" s="17">
        <f t="shared" si="58"/>
        <v>0</v>
      </c>
      <c r="D125" s="17">
        <f t="shared" si="58"/>
        <v>0</v>
      </c>
      <c r="E125" s="17">
        <f t="shared" si="58"/>
        <v>0</v>
      </c>
      <c r="F125" s="17">
        <f t="shared" si="58"/>
        <v>0</v>
      </c>
      <c r="G125" s="17">
        <f t="shared" si="58"/>
        <v>0</v>
      </c>
      <c r="H125" s="17">
        <f t="shared" si="58"/>
        <v>0</v>
      </c>
      <c r="I125" s="17">
        <f t="shared" si="58"/>
        <v>0</v>
      </c>
      <c r="J125" s="17">
        <f t="shared" si="58"/>
        <v>0</v>
      </c>
      <c r="K125" s="17">
        <f t="shared" si="58"/>
        <v>0</v>
      </c>
      <c r="L125" s="17">
        <f t="shared" si="58"/>
        <v>0</v>
      </c>
      <c r="M125" s="17">
        <f t="shared" si="58"/>
        <v>0</v>
      </c>
      <c r="O125" s="17">
        <f>SUM(O123:O124)</f>
        <v>0</v>
      </c>
    </row>
    <row r="126" spans="1:16" hidden="1" x14ac:dyDescent="0.25">
      <c r="A126" s="20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O126" s="17"/>
    </row>
    <row r="127" spans="1:16" hidden="1" x14ac:dyDescent="0.25">
      <c r="A127" s="27" t="s">
        <v>23</v>
      </c>
      <c r="B127" s="16">
        <f>IF(B121&lt;0.001,0,dropdown!$D$20*B121)</f>
        <v>0</v>
      </c>
      <c r="C127" s="16">
        <f>IF(C121&lt;0.001,0,dropdown!$D$20*C121)</f>
        <v>0</v>
      </c>
      <c r="D127" s="16">
        <f>IF(D121&lt;0.001,0,dropdown!$D$20*D121)</f>
        <v>0</v>
      </c>
      <c r="E127" s="16">
        <f>IF(E121&lt;0.001,0,dropdown!$D$20*E121)</f>
        <v>0</v>
      </c>
      <c r="F127" s="16">
        <f>IF(F121&lt;0.001,0,dropdown!$D$20*F121)</f>
        <v>0</v>
      </c>
      <c r="G127" s="16">
        <f>IF(G121&lt;0.001,0,dropdown!$D$20*G121)</f>
        <v>0</v>
      </c>
      <c r="H127" s="16">
        <f>IF(H121&lt;0.001,0,dropdown!$D$20*H121)</f>
        <v>0</v>
      </c>
      <c r="I127" s="16">
        <f>IF(I121&lt;0.001,0,dropdown!$D$20*I121)</f>
        <v>0</v>
      </c>
      <c r="J127" s="16">
        <f>IF(J121&lt;0.001,0,dropdown!$D$20*J121)</f>
        <v>0</v>
      </c>
      <c r="K127" s="16">
        <f>IF(K121&lt;0.001,0,dropdown!$D$20*K121)</f>
        <v>0</v>
      </c>
      <c r="L127" s="16">
        <f>IF(L121&lt;0.001,0,dropdown!$D$20*L121)</f>
        <v>0</v>
      </c>
      <c r="M127" s="16">
        <f>IF(M121&lt;0.001,0,dropdown!$D$20*M121)</f>
        <v>0</v>
      </c>
      <c r="N127" s="16">
        <f>IF(N119&lt;0.001,0,dropdown!$D$19*N119)</f>
        <v>0</v>
      </c>
      <c r="O127" s="16">
        <f>SUM(B127:M127)*(1/(1+dropdown!$D$19))^VALUE(RIGHT(A120,2))</f>
        <v>0</v>
      </c>
    </row>
    <row r="128" spans="1:16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O128" s="13"/>
    </row>
    <row r="129" spans="1:16" x14ac:dyDescent="0.25">
      <c r="A129" s="33" t="str">
        <f>Vertaling!$B$23&amp;" "&amp;ROUNDUP(B129/12,0)</f>
        <v>Jaar 13</v>
      </c>
      <c r="B129" s="34">
        <f t="shared" ref="B129:M129" si="59">B120+12</f>
        <v>145</v>
      </c>
      <c r="C129" s="34">
        <f t="shared" si="59"/>
        <v>146</v>
      </c>
      <c r="D129" s="34">
        <f t="shared" si="59"/>
        <v>147</v>
      </c>
      <c r="E129" s="34">
        <f t="shared" si="59"/>
        <v>148</v>
      </c>
      <c r="F129" s="34">
        <f t="shared" si="59"/>
        <v>149</v>
      </c>
      <c r="G129" s="34">
        <f t="shared" si="59"/>
        <v>150</v>
      </c>
      <c r="H129" s="34">
        <f t="shared" si="59"/>
        <v>151</v>
      </c>
      <c r="I129" s="34">
        <f t="shared" si="59"/>
        <v>152</v>
      </c>
      <c r="J129" s="34">
        <f t="shared" si="59"/>
        <v>153</v>
      </c>
      <c r="K129" s="34">
        <f t="shared" si="59"/>
        <v>154</v>
      </c>
      <c r="L129" s="34">
        <f t="shared" si="59"/>
        <v>155</v>
      </c>
      <c r="M129" s="34">
        <f t="shared" si="59"/>
        <v>156</v>
      </c>
      <c r="N129" s="35"/>
      <c r="O129" s="34" t="s">
        <v>20</v>
      </c>
    </row>
    <row r="130" spans="1:16" x14ac:dyDescent="0.25">
      <c r="A130" s="22" t="str">
        <f>Vertaling!$B$24</f>
        <v>Bedrag lening begin maand</v>
      </c>
      <c r="B130" s="17">
        <f>IF(M121-M124&lt;0.5,0,M121-M124)</f>
        <v>0</v>
      </c>
      <c r="C130" s="17">
        <f t="shared" ref="C130:M130" si="60">IF(B130-B133&lt;0.5,0,B130-B133)</f>
        <v>0</v>
      </c>
      <c r="D130" s="17">
        <f t="shared" si="60"/>
        <v>0</v>
      </c>
      <c r="E130" s="17">
        <f t="shared" si="60"/>
        <v>0</v>
      </c>
      <c r="F130" s="17">
        <f t="shared" si="60"/>
        <v>0</v>
      </c>
      <c r="G130" s="17">
        <f t="shared" si="60"/>
        <v>0</v>
      </c>
      <c r="H130" s="17">
        <f t="shared" si="60"/>
        <v>0</v>
      </c>
      <c r="I130" s="17">
        <f t="shared" si="60"/>
        <v>0</v>
      </c>
      <c r="J130" s="17">
        <f t="shared" si="60"/>
        <v>0</v>
      </c>
      <c r="K130" s="17">
        <f t="shared" si="60"/>
        <v>0</v>
      </c>
      <c r="L130" s="17">
        <f t="shared" si="60"/>
        <v>0</v>
      </c>
      <c r="M130" s="17">
        <f t="shared" si="60"/>
        <v>0</v>
      </c>
      <c r="O130" s="17">
        <f>M130</f>
        <v>0</v>
      </c>
    </row>
    <row r="131" spans="1:16" x14ac:dyDescent="0.25">
      <c r="A131" s="22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O131" s="16"/>
    </row>
    <row r="132" spans="1:16" x14ac:dyDescent="0.25">
      <c r="A132" s="22" t="str">
        <f>Vertaling!$B$25</f>
        <v>Kosten rente per maand</v>
      </c>
      <c r="B132" s="16">
        <f t="shared" ref="B132:M132" si="61">IF(B130&lt;0.001,0,Rentekosten*B130)</f>
        <v>0</v>
      </c>
      <c r="C132" s="16">
        <f t="shared" si="61"/>
        <v>0</v>
      </c>
      <c r="D132" s="16">
        <f t="shared" si="61"/>
        <v>0</v>
      </c>
      <c r="E132" s="16">
        <f t="shared" si="61"/>
        <v>0</v>
      </c>
      <c r="F132" s="16">
        <f t="shared" si="61"/>
        <v>0</v>
      </c>
      <c r="G132" s="16">
        <f t="shared" si="61"/>
        <v>0</v>
      </c>
      <c r="H132" s="16">
        <f t="shared" si="61"/>
        <v>0</v>
      </c>
      <c r="I132" s="16">
        <f t="shared" si="61"/>
        <v>0</v>
      </c>
      <c r="J132" s="16">
        <f t="shared" si="61"/>
        <v>0</v>
      </c>
      <c r="K132" s="16">
        <f t="shared" si="61"/>
        <v>0</v>
      </c>
      <c r="L132" s="16">
        <f t="shared" si="61"/>
        <v>0</v>
      </c>
      <c r="M132" s="16">
        <f t="shared" si="61"/>
        <v>0</v>
      </c>
      <c r="O132" s="16">
        <f>SUM(B132:M132)</f>
        <v>0</v>
      </c>
    </row>
    <row r="133" spans="1:16" ht="15.75" thickBot="1" x14ac:dyDescent="0.3">
      <c r="A133" s="22" t="str">
        <f>Vertaling!$B$26</f>
        <v>Aflossing per maand</v>
      </c>
      <c r="B133" s="36">
        <f t="shared" ref="B133:M133" si="62">IF(B130&lt;0.001,0,IF(B129&lt;$C$11+1,0,IF($G$7="Lineair",Aflossingsbedrag,IF($G$7="Annuïteit",IFERROR($G$11-Rentekosten*(B130),0),0))))</f>
        <v>0</v>
      </c>
      <c r="C133" s="36">
        <f t="shared" si="62"/>
        <v>0</v>
      </c>
      <c r="D133" s="36">
        <f t="shared" si="62"/>
        <v>0</v>
      </c>
      <c r="E133" s="36">
        <f t="shared" si="62"/>
        <v>0</v>
      </c>
      <c r="F133" s="36">
        <f t="shared" si="62"/>
        <v>0</v>
      </c>
      <c r="G133" s="36">
        <f t="shared" si="62"/>
        <v>0</v>
      </c>
      <c r="H133" s="36">
        <f t="shared" si="62"/>
        <v>0</v>
      </c>
      <c r="I133" s="36">
        <f t="shared" si="62"/>
        <v>0</v>
      </c>
      <c r="J133" s="36">
        <f t="shared" si="62"/>
        <v>0</v>
      </c>
      <c r="K133" s="36">
        <f t="shared" si="62"/>
        <v>0</v>
      </c>
      <c r="L133" s="36">
        <f t="shared" si="62"/>
        <v>0</v>
      </c>
      <c r="M133" s="36">
        <f t="shared" si="62"/>
        <v>0</v>
      </c>
      <c r="N133" s="38"/>
      <c r="O133" s="39">
        <f>SUM(B133:M133)</f>
        <v>0</v>
      </c>
    </row>
    <row r="134" spans="1:16" ht="15.75" thickTop="1" x14ac:dyDescent="0.25">
      <c r="A134" s="27" t="str">
        <f>Vertaling!$B$29</f>
        <v>Te betalen per maand</v>
      </c>
      <c r="B134" s="17">
        <f t="shared" ref="B134:M134" si="63">SUM(B132:B133)</f>
        <v>0</v>
      </c>
      <c r="C134" s="17">
        <f t="shared" si="63"/>
        <v>0</v>
      </c>
      <c r="D134" s="17">
        <f t="shared" si="63"/>
        <v>0</v>
      </c>
      <c r="E134" s="17">
        <f t="shared" si="63"/>
        <v>0</v>
      </c>
      <c r="F134" s="17">
        <f t="shared" si="63"/>
        <v>0</v>
      </c>
      <c r="G134" s="17">
        <f t="shared" si="63"/>
        <v>0</v>
      </c>
      <c r="H134" s="17">
        <f t="shared" si="63"/>
        <v>0</v>
      </c>
      <c r="I134" s="17">
        <f t="shared" si="63"/>
        <v>0</v>
      </c>
      <c r="J134" s="17">
        <f t="shared" si="63"/>
        <v>0</v>
      </c>
      <c r="K134" s="17">
        <f t="shared" si="63"/>
        <v>0</v>
      </c>
      <c r="L134" s="17">
        <f t="shared" si="63"/>
        <v>0</v>
      </c>
      <c r="M134" s="17">
        <f t="shared" si="63"/>
        <v>0</v>
      </c>
      <c r="O134" s="17">
        <f>SUM(O132:O133)</f>
        <v>0</v>
      </c>
    </row>
    <row r="135" spans="1:16" hidden="1" x14ac:dyDescent="0.25">
      <c r="A135" s="20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O135" s="17"/>
    </row>
    <row r="136" spans="1:16" hidden="1" x14ac:dyDescent="0.25">
      <c r="A136" s="27" t="s">
        <v>23</v>
      </c>
      <c r="B136" s="16">
        <f>IF(B130&lt;0.001,0,dropdown!$D$20*B130)</f>
        <v>0</v>
      </c>
      <c r="C136" s="16">
        <f>IF(C130&lt;0.001,0,dropdown!$D$20*C130)</f>
        <v>0</v>
      </c>
      <c r="D136" s="16">
        <f>IF(D130&lt;0.001,0,dropdown!$D$20*D130)</f>
        <v>0</v>
      </c>
      <c r="E136" s="16">
        <f>IF(E130&lt;0.001,0,dropdown!$D$20*E130)</f>
        <v>0</v>
      </c>
      <c r="F136" s="16">
        <f>IF(F130&lt;0.001,0,dropdown!$D$20*F130)</f>
        <v>0</v>
      </c>
      <c r="G136" s="16">
        <f>IF(G130&lt;0.001,0,dropdown!$D$20*G130)</f>
        <v>0</v>
      </c>
      <c r="H136" s="16">
        <f>IF(H130&lt;0.001,0,dropdown!$D$20*H130)</f>
        <v>0</v>
      </c>
      <c r="I136" s="16">
        <f>IF(I130&lt;0.001,0,dropdown!$D$20*I130)</f>
        <v>0</v>
      </c>
      <c r="J136" s="16">
        <f>IF(J130&lt;0.001,0,dropdown!$D$20*J130)</f>
        <v>0</v>
      </c>
      <c r="K136" s="16">
        <f>IF(K130&lt;0.001,0,dropdown!$D$20*K130)</f>
        <v>0</v>
      </c>
      <c r="L136" s="16">
        <f>IF(L130&lt;0.001,0,dropdown!$D$20*L130)</f>
        <v>0</v>
      </c>
      <c r="M136" s="16">
        <f>IF(M130&lt;0.001,0,dropdown!$D$20*M130)</f>
        <v>0</v>
      </c>
      <c r="N136" s="16">
        <f>IF(N128&lt;0.001,0,dropdown!$D$19*N128)</f>
        <v>0</v>
      </c>
      <c r="O136" s="16">
        <f>SUM(B136:M136)*(1/(1+dropdown!$D$19))^VALUE(RIGHT(A129,2))</f>
        <v>0</v>
      </c>
    </row>
    <row r="137" spans="1:16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O137" s="13"/>
    </row>
    <row r="138" spans="1:16" x14ac:dyDescent="0.25">
      <c r="A138" s="33" t="str">
        <f>Vertaling!$B$23&amp;" "&amp;ROUNDUP(B138/12,0)</f>
        <v>Jaar 14</v>
      </c>
      <c r="B138" s="34">
        <f t="shared" ref="B138:M138" si="64">B129+12</f>
        <v>157</v>
      </c>
      <c r="C138" s="34">
        <f t="shared" si="64"/>
        <v>158</v>
      </c>
      <c r="D138" s="34">
        <f t="shared" si="64"/>
        <v>159</v>
      </c>
      <c r="E138" s="34">
        <f t="shared" si="64"/>
        <v>160</v>
      </c>
      <c r="F138" s="34">
        <f t="shared" si="64"/>
        <v>161</v>
      </c>
      <c r="G138" s="34">
        <f t="shared" si="64"/>
        <v>162</v>
      </c>
      <c r="H138" s="34">
        <f t="shared" si="64"/>
        <v>163</v>
      </c>
      <c r="I138" s="34">
        <f t="shared" si="64"/>
        <v>164</v>
      </c>
      <c r="J138" s="34">
        <f t="shared" si="64"/>
        <v>165</v>
      </c>
      <c r="K138" s="34">
        <f t="shared" si="64"/>
        <v>166</v>
      </c>
      <c r="L138" s="34">
        <f t="shared" si="64"/>
        <v>167</v>
      </c>
      <c r="M138" s="34">
        <f t="shared" si="64"/>
        <v>168</v>
      </c>
      <c r="N138" s="35"/>
      <c r="O138" s="34" t="s">
        <v>20</v>
      </c>
    </row>
    <row r="139" spans="1:16" x14ac:dyDescent="0.25">
      <c r="A139" s="22" t="str">
        <f>Vertaling!$B$24</f>
        <v>Bedrag lening begin maand</v>
      </c>
      <c r="B139" s="17">
        <f>IF(M130-M133&lt;0.5,0,M130-M133)</f>
        <v>0</v>
      </c>
      <c r="C139" s="17">
        <f t="shared" ref="C139:M139" si="65">IF(B139-B142&lt;0.5,0,B139-B142)</f>
        <v>0</v>
      </c>
      <c r="D139" s="17">
        <f t="shared" si="65"/>
        <v>0</v>
      </c>
      <c r="E139" s="17">
        <f t="shared" si="65"/>
        <v>0</v>
      </c>
      <c r="F139" s="17">
        <f t="shared" si="65"/>
        <v>0</v>
      </c>
      <c r="G139" s="17">
        <f t="shared" si="65"/>
        <v>0</v>
      </c>
      <c r="H139" s="17">
        <f t="shared" si="65"/>
        <v>0</v>
      </c>
      <c r="I139" s="17">
        <f t="shared" si="65"/>
        <v>0</v>
      </c>
      <c r="J139" s="17">
        <f t="shared" si="65"/>
        <v>0</v>
      </c>
      <c r="K139" s="17">
        <f t="shared" si="65"/>
        <v>0</v>
      </c>
      <c r="L139" s="17">
        <f t="shared" si="65"/>
        <v>0</v>
      </c>
      <c r="M139" s="17">
        <f t="shared" si="65"/>
        <v>0</v>
      </c>
      <c r="O139" s="17">
        <f>M139</f>
        <v>0</v>
      </c>
      <c r="P139" s="47"/>
    </row>
    <row r="140" spans="1:16" x14ac:dyDescent="0.25">
      <c r="A140" s="22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O140" s="16"/>
    </row>
    <row r="141" spans="1:16" x14ac:dyDescent="0.25">
      <c r="A141" s="22" t="str">
        <f>Vertaling!$B$25</f>
        <v>Kosten rente per maand</v>
      </c>
      <c r="B141" s="16">
        <f t="shared" ref="B141:M141" si="66">IF(B139&lt;0.001,0,Rentekosten*B139)</f>
        <v>0</v>
      </c>
      <c r="C141" s="16">
        <f t="shared" si="66"/>
        <v>0</v>
      </c>
      <c r="D141" s="16">
        <f t="shared" si="66"/>
        <v>0</v>
      </c>
      <c r="E141" s="16">
        <f t="shared" si="66"/>
        <v>0</v>
      </c>
      <c r="F141" s="16">
        <f t="shared" si="66"/>
        <v>0</v>
      </c>
      <c r="G141" s="16">
        <f t="shared" si="66"/>
        <v>0</v>
      </c>
      <c r="H141" s="16">
        <f t="shared" si="66"/>
        <v>0</v>
      </c>
      <c r="I141" s="16">
        <f t="shared" si="66"/>
        <v>0</v>
      </c>
      <c r="J141" s="16">
        <f t="shared" si="66"/>
        <v>0</v>
      </c>
      <c r="K141" s="16">
        <f t="shared" si="66"/>
        <v>0</v>
      </c>
      <c r="L141" s="16">
        <f t="shared" si="66"/>
        <v>0</v>
      </c>
      <c r="M141" s="16">
        <f t="shared" si="66"/>
        <v>0</v>
      </c>
      <c r="O141" s="16">
        <f>SUM(B141:M141)</f>
        <v>0</v>
      </c>
    </row>
    <row r="142" spans="1:16" ht="15.75" thickBot="1" x14ac:dyDescent="0.3">
      <c r="A142" s="22" t="str">
        <f>Vertaling!$B$26</f>
        <v>Aflossing per maand</v>
      </c>
      <c r="B142" s="36">
        <f t="shared" ref="B142:M142" si="67">IF(B139&lt;0.001,0,IF(B138&lt;$C$11+1,0,IF($G$7="Lineair",Aflossingsbedrag,IF($G$7="Annuïteit",IFERROR($G$11-Rentekosten*(B139),0),0))))</f>
        <v>0</v>
      </c>
      <c r="C142" s="36">
        <f t="shared" si="67"/>
        <v>0</v>
      </c>
      <c r="D142" s="36">
        <f t="shared" si="67"/>
        <v>0</v>
      </c>
      <c r="E142" s="36">
        <f t="shared" si="67"/>
        <v>0</v>
      </c>
      <c r="F142" s="36">
        <f t="shared" si="67"/>
        <v>0</v>
      </c>
      <c r="G142" s="36">
        <f t="shared" si="67"/>
        <v>0</v>
      </c>
      <c r="H142" s="36">
        <f t="shared" si="67"/>
        <v>0</v>
      </c>
      <c r="I142" s="36">
        <f t="shared" si="67"/>
        <v>0</v>
      </c>
      <c r="J142" s="36">
        <f t="shared" si="67"/>
        <v>0</v>
      </c>
      <c r="K142" s="36">
        <f t="shared" si="67"/>
        <v>0</v>
      </c>
      <c r="L142" s="36">
        <f t="shared" si="67"/>
        <v>0</v>
      </c>
      <c r="M142" s="36">
        <f t="shared" si="67"/>
        <v>0</v>
      </c>
      <c r="N142" s="38"/>
      <c r="O142" s="39">
        <f>SUM(B142:M142)</f>
        <v>0</v>
      </c>
    </row>
    <row r="143" spans="1:16" ht="15.75" thickTop="1" x14ac:dyDescent="0.25">
      <c r="A143" s="27" t="str">
        <f>Vertaling!$B$29</f>
        <v>Te betalen per maand</v>
      </c>
      <c r="B143" s="17">
        <f t="shared" ref="B143:M143" si="68">SUM(B141:B142)</f>
        <v>0</v>
      </c>
      <c r="C143" s="17">
        <f t="shared" si="68"/>
        <v>0</v>
      </c>
      <c r="D143" s="17">
        <f t="shared" si="68"/>
        <v>0</v>
      </c>
      <c r="E143" s="17">
        <f t="shared" si="68"/>
        <v>0</v>
      </c>
      <c r="F143" s="17">
        <f t="shared" si="68"/>
        <v>0</v>
      </c>
      <c r="G143" s="17">
        <f t="shared" si="68"/>
        <v>0</v>
      </c>
      <c r="H143" s="17">
        <f t="shared" si="68"/>
        <v>0</v>
      </c>
      <c r="I143" s="17">
        <f t="shared" si="68"/>
        <v>0</v>
      </c>
      <c r="J143" s="17">
        <f t="shared" si="68"/>
        <v>0</v>
      </c>
      <c r="K143" s="17">
        <f t="shared" si="68"/>
        <v>0</v>
      </c>
      <c r="L143" s="17">
        <f t="shared" si="68"/>
        <v>0</v>
      </c>
      <c r="M143" s="17">
        <f t="shared" si="68"/>
        <v>0</v>
      </c>
      <c r="O143" s="17">
        <f>SUM(O141:O142)</f>
        <v>0</v>
      </c>
    </row>
    <row r="144" spans="1:16" hidden="1" x14ac:dyDescent="0.25">
      <c r="A144" s="20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O144" s="17"/>
    </row>
    <row r="145" spans="1:16" hidden="1" x14ac:dyDescent="0.25">
      <c r="A145" s="27" t="s">
        <v>23</v>
      </c>
      <c r="B145" s="16">
        <f>IF(B139&lt;0.001,0,dropdown!$D$20*B139)</f>
        <v>0</v>
      </c>
      <c r="C145" s="16">
        <f>IF(C139&lt;0.001,0,dropdown!$D$20*C139)</f>
        <v>0</v>
      </c>
      <c r="D145" s="16">
        <f>IF(D139&lt;0.001,0,dropdown!$D$20*D139)</f>
        <v>0</v>
      </c>
      <c r="E145" s="16">
        <f>IF(E139&lt;0.001,0,dropdown!$D$20*E139)</f>
        <v>0</v>
      </c>
      <c r="F145" s="16">
        <f>IF(F139&lt;0.001,0,dropdown!$D$20*F139)</f>
        <v>0</v>
      </c>
      <c r="G145" s="16">
        <f>IF(G139&lt;0.001,0,dropdown!$D$20*G139)</f>
        <v>0</v>
      </c>
      <c r="H145" s="16">
        <f>IF(H139&lt;0.001,0,dropdown!$D$20*H139)</f>
        <v>0</v>
      </c>
      <c r="I145" s="16">
        <f>IF(I139&lt;0.001,0,dropdown!$D$20*I139)</f>
        <v>0</v>
      </c>
      <c r="J145" s="16">
        <f>IF(J139&lt;0.001,0,dropdown!$D$20*J139)</f>
        <v>0</v>
      </c>
      <c r="K145" s="16">
        <f>IF(K139&lt;0.001,0,dropdown!$D$20*K139)</f>
        <v>0</v>
      </c>
      <c r="L145" s="16">
        <f>IF(L139&lt;0.001,0,dropdown!$D$20*L139)</f>
        <v>0</v>
      </c>
      <c r="M145" s="16">
        <f>IF(M139&lt;0.001,0,dropdown!$D$20*M139)</f>
        <v>0</v>
      </c>
      <c r="N145" s="16">
        <f>IF(N137&lt;0.001,0,dropdown!$D$19*N137)</f>
        <v>0</v>
      </c>
      <c r="O145" s="16">
        <f>SUM(B145:M145)*(1/(1+dropdown!$D$19))^VALUE(RIGHT(A138,2))</f>
        <v>0</v>
      </c>
    </row>
    <row r="146" spans="1:16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O146" s="13"/>
    </row>
    <row r="147" spans="1:16" x14ac:dyDescent="0.25">
      <c r="A147" s="33" t="str">
        <f>Vertaling!$B$23&amp;" "&amp;ROUNDUP(B147/12,0)</f>
        <v>Jaar 15</v>
      </c>
      <c r="B147" s="34">
        <f t="shared" ref="B147:M147" si="69">B138+12</f>
        <v>169</v>
      </c>
      <c r="C147" s="34">
        <f t="shared" si="69"/>
        <v>170</v>
      </c>
      <c r="D147" s="34">
        <f t="shared" si="69"/>
        <v>171</v>
      </c>
      <c r="E147" s="34">
        <f t="shared" si="69"/>
        <v>172</v>
      </c>
      <c r="F147" s="34">
        <f t="shared" si="69"/>
        <v>173</v>
      </c>
      <c r="G147" s="34">
        <f t="shared" si="69"/>
        <v>174</v>
      </c>
      <c r="H147" s="34">
        <f t="shared" si="69"/>
        <v>175</v>
      </c>
      <c r="I147" s="34">
        <f t="shared" si="69"/>
        <v>176</v>
      </c>
      <c r="J147" s="34">
        <f t="shared" si="69"/>
        <v>177</v>
      </c>
      <c r="K147" s="34">
        <f t="shared" si="69"/>
        <v>178</v>
      </c>
      <c r="L147" s="34">
        <f t="shared" si="69"/>
        <v>179</v>
      </c>
      <c r="M147" s="34">
        <f t="shared" si="69"/>
        <v>180</v>
      </c>
      <c r="N147" s="35"/>
      <c r="O147" s="34" t="s">
        <v>20</v>
      </c>
    </row>
    <row r="148" spans="1:16" x14ac:dyDescent="0.25">
      <c r="A148" s="22" t="str">
        <f>Vertaling!$B$24</f>
        <v>Bedrag lening begin maand</v>
      </c>
      <c r="B148" s="17">
        <f>IF(M139-M142&lt;0.5,0,M139-M142)</f>
        <v>0</v>
      </c>
      <c r="C148" s="17">
        <f t="shared" ref="C148:M148" si="70">IF(B148-B151&lt;0.5,0,B148-B151)</f>
        <v>0</v>
      </c>
      <c r="D148" s="17">
        <f t="shared" si="70"/>
        <v>0</v>
      </c>
      <c r="E148" s="17">
        <f t="shared" si="70"/>
        <v>0</v>
      </c>
      <c r="F148" s="17">
        <f t="shared" si="70"/>
        <v>0</v>
      </c>
      <c r="G148" s="17">
        <f t="shared" si="70"/>
        <v>0</v>
      </c>
      <c r="H148" s="17">
        <f t="shared" si="70"/>
        <v>0</v>
      </c>
      <c r="I148" s="17">
        <f t="shared" si="70"/>
        <v>0</v>
      </c>
      <c r="J148" s="17">
        <f t="shared" si="70"/>
        <v>0</v>
      </c>
      <c r="K148" s="17">
        <f t="shared" si="70"/>
        <v>0</v>
      </c>
      <c r="L148" s="17">
        <f t="shared" si="70"/>
        <v>0</v>
      </c>
      <c r="M148" s="17">
        <f t="shared" si="70"/>
        <v>0</v>
      </c>
      <c r="O148" s="17">
        <f>M148</f>
        <v>0</v>
      </c>
    </row>
    <row r="149" spans="1:16" x14ac:dyDescent="0.25">
      <c r="A149" s="22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O149" s="16"/>
    </row>
    <row r="150" spans="1:16" x14ac:dyDescent="0.25">
      <c r="A150" s="22" t="str">
        <f>Vertaling!$B$25</f>
        <v>Kosten rente per maand</v>
      </c>
      <c r="B150" s="16">
        <f t="shared" ref="B150:M150" si="71">IF(B148&lt;0.001,0,Rentekosten*B148)</f>
        <v>0</v>
      </c>
      <c r="C150" s="16">
        <f t="shared" si="71"/>
        <v>0</v>
      </c>
      <c r="D150" s="16">
        <f t="shared" si="71"/>
        <v>0</v>
      </c>
      <c r="E150" s="16">
        <f t="shared" si="71"/>
        <v>0</v>
      </c>
      <c r="F150" s="16">
        <f t="shared" si="71"/>
        <v>0</v>
      </c>
      <c r="G150" s="16">
        <f t="shared" si="71"/>
        <v>0</v>
      </c>
      <c r="H150" s="16">
        <f t="shared" si="71"/>
        <v>0</v>
      </c>
      <c r="I150" s="16">
        <f t="shared" si="71"/>
        <v>0</v>
      </c>
      <c r="J150" s="16">
        <f t="shared" si="71"/>
        <v>0</v>
      </c>
      <c r="K150" s="16">
        <f t="shared" si="71"/>
        <v>0</v>
      </c>
      <c r="L150" s="16">
        <f t="shared" si="71"/>
        <v>0</v>
      </c>
      <c r="M150" s="16">
        <f t="shared" si="71"/>
        <v>0</v>
      </c>
      <c r="O150" s="16">
        <f>SUM(B150:M150)</f>
        <v>0</v>
      </c>
    </row>
    <row r="151" spans="1:16" ht="15.75" thickBot="1" x14ac:dyDescent="0.3">
      <c r="A151" s="22" t="str">
        <f>Vertaling!$B$26</f>
        <v>Aflossing per maand</v>
      </c>
      <c r="B151" s="36">
        <f t="shared" ref="B151:M151" si="72">IF(B148&lt;0.001,0,IF(B147&lt;$C$11+1,0,IF($G$7="Lineair",Aflossingsbedrag,IF($G$7="Annuïteit",IFERROR($G$11-Rentekosten*(B148),0),0))))</f>
        <v>0</v>
      </c>
      <c r="C151" s="36">
        <f t="shared" si="72"/>
        <v>0</v>
      </c>
      <c r="D151" s="36">
        <f t="shared" si="72"/>
        <v>0</v>
      </c>
      <c r="E151" s="36">
        <f t="shared" si="72"/>
        <v>0</v>
      </c>
      <c r="F151" s="36">
        <f t="shared" si="72"/>
        <v>0</v>
      </c>
      <c r="G151" s="36">
        <f t="shared" si="72"/>
        <v>0</v>
      </c>
      <c r="H151" s="36">
        <f t="shared" si="72"/>
        <v>0</v>
      </c>
      <c r="I151" s="36">
        <f t="shared" si="72"/>
        <v>0</v>
      </c>
      <c r="J151" s="36">
        <f t="shared" si="72"/>
        <v>0</v>
      </c>
      <c r="K151" s="36">
        <f t="shared" si="72"/>
        <v>0</v>
      </c>
      <c r="L151" s="36">
        <f t="shared" si="72"/>
        <v>0</v>
      </c>
      <c r="M151" s="36">
        <f t="shared" si="72"/>
        <v>0</v>
      </c>
      <c r="N151" s="38"/>
      <c r="O151" s="39">
        <f>SUM(B151:M151)</f>
        <v>0</v>
      </c>
    </row>
    <row r="152" spans="1:16" ht="15.75" thickTop="1" x14ac:dyDescent="0.25">
      <c r="A152" s="27" t="str">
        <f>Vertaling!$B$29</f>
        <v>Te betalen per maand</v>
      </c>
      <c r="B152" s="17">
        <f t="shared" ref="B152:M152" si="73">SUM(B150:B151)</f>
        <v>0</v>
      </c>
      <c r="C152" s="17">
        <f t="shared" si="73"/>
        <v>0</v>
      </c>
      <c r="D152" s="17">
        <f t="shared" si="73"/>
        <v>0</v>
      </c>
      <c r="E152" s="17">
        <f t="shared" si="73"/>
        <v>0</v>
      </c>
      <c r="F152" s="17">
        <f t="shared" si="73"/>
        <v>0</v>
      </c>
      <c r="G152" s="17">
        <f t="shared" si="73"/>
        <v>0</v>
      </c>
      <c r="H152" s="17">
        <f t="shared" si="73"/>
        <v>0</v>
      </c>
      <c r="I152" s="17">
        <f t="shared" si="73"/>
        <v>0</v>
      </c>
      <c r="J152" s="17">
        <f t="shared" si="73"/>
        <v>0</v>
      </c>
      <c r="K152" s="17">
        <f t="shared" si="73"/>
        <v>0</v>
      </c>
      <c r="L152" s="17">
        <f t="shared" si="73"/>
        <v>0</v>
      </c>
      <c r="M152" s="17">
        <f t="shared" si="73"/>
        <v>0</v>
      </c>
      <c r="O152" s="17">
        <f>SUM(O150:O151)</f>
        <v>0</v>
      </c>
    </row>
    <row r="153" spans="1:16" hidden="1" x14ac:dyDescent="0.25">
      <c r="A153" s="20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O153" s="17"/>
    </row>
    <row r="154" spans="1:16" hidden="1" x14ac:dyDescent="0.25">
      <c r="A154" s="27" t="s">
        <v>23</v>
      </c>
      <c r="B154" s="16">
        <f>IF(B148&lt;0.001,0,dropdown!$D$20*B148)</f>
        <v>0</v>
      </c>
      <c r="C154" s="16">
        <f>IF(C148&lt;0.001,0,dropdown!$D$20*C148)</f>
        <v>0</v>
      </c>
      <c r="D154" s="16">
        <f>IF(D148&lt;0.001,0,dropdown!$D$20*D148)</f>
        <v>0</v>
      </c>
      <c r="E154" s="16">
        <f>IF(E148&lt;0.001,0,dropdown!$D$20*E148)</f>
        <v>0</v>
      </c>
      <c r="F154" s="16">
        <f>IF(F148&lt;0.001,0,dropdown!$D$20*F148)</f>
        <v>0</v>
      </c>
      <c r="G154" s="16">
        <f>IF(G148&lt;0.001,0,dropdown!$D$20*G148)</f>
        <v>0</v>
      </c>
      <c r="H154" s="16">
        <f>IF(H148&lt;0.001,0,dropdown!$D$20*H148)</f>
        <v>0</v>
      </c>
      <c r="I154" s="16">
        <f>IF(I148&lt;0.001,0,dropdown!$D$20*I148)</f>
        <v>0</v>
      </c>
      <c r="J154" s="16">
        <f>IF(J148&lt;0.001,0,dropdown!$D$20*J148)</f>
        <v>0</v>
      </c>
      <c r="K154" s="16">
        <f>IF(K148&lt;0.001,0,dropdown!$D$20*K148)</f>
        <v>0</v>
      </c>
      <c r="L154" s="16">
        <f>IF(L148&lt;0.001,0,dropdown!$D$20*L148)</f>
        <v>0</v>
      </c>
      <c r="M154" s="16">
        <f>IF(M148&lt;0.001,0,dropdown!$D$20*M148)</f>
        <v>0</v>
      </c>
      <c r="N154" s="16">
        <f>IF(N146&lt;0.001,0,dropdown!$D$19*N146)</f>
        <v>0</v>
      </c>
      <c r="O154" s="16">
        <f>SUM(B154:M154)*(1/(1+dropdown!$D$19))^VALUE(RIGHT(A147,2))</f>
        <v>0</v>
      </c>
    </row>
    <row r="155" spans="1:16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O155" s="13"/>
    </row>
    <row r="156" spans="1:16" x14ac:dyDescent="0.25">
      <c r="A156" s="33" t="str">
        <f>Vertaling!$B$23&amp;" "&amp;ROUNDUP(B156/12,0)</f>
        <v>Jaar 16</v>
      </c>
      <c r="B156" s="34">
        <f t="shared" ref="B156:M156" si="74">B147+12</f>
        <v>181</v>
      </c>
      <c r="C156" s="34">
        <f t="shared" si="74"/>
        <v>182</v>
      </c>
      <c r="D156" s="34">
        <f t="shared" si="74"/>
        <v>183</v>
      </c>
      <c r="E156" s="34">
        <f t="shared" si="74"/>
        <v>184</v>
      </c>
      <c r="F156" s="34">
        <f t="shared" si="74"/>
        <v>185</v>
      </c>
      <c r="G156" s="34">
        <f t="shared" si="74"/>
        <v>186</v>
      </c>
      <c r="H156" s="34">
        <f t="shared" si="74"/>
        <v>187</v>
      </c>
      <c r="I156" s="34">
        <f t="shared" si="74"/>
        <v>188</v>
      </c>
      <c r="J156" s="34">
        <f t="shared" si="74"/>
        <v>189</v>
      </c>
      <c r="K156" s="34">
        <f t="shared" si="74"/>
        <v>190</v>
      </c>
      <c r="L156" s="34">
        <f t="shared" si="74"/>
        <v>191</v>
      </c>
      <c r="M156" s="34">
        <f t="shared" si="74"/>
        <v>192</v>
      </c>
      <c r="N156" s="35"/>
      <c r="O156" s="34" t="s">
        <v>20</v>
      </c>
    </row>
    <row r="157" spans="1:16" x14ac:dyDescent="0.25">
      <c r="A157" s="22" t="str">
        <f>Vertaling!$B$24</f>
        <v>Bedrag lening begin maand</v>
      </c>
      <c r="B157" s="17">
        <f>IF(M148-M151&lt;0.5,0,M148-M151)</f>
        <v>0</v>
      </c>
      <c r="C157" s="17">
        <f t="shared" ref="C157:M157" si="75">IF(B157-B160&lt;0.5,0,B157-B160)</f>
        <v>0</v>
      </c>
      <c r="D157" s="17">
        <f t="shared" si="75"/>
        <v>0</v>
      </c>
      <c r="E157" s="17">
        <f t="shared" si="75"/>
        <v>0</v>
      </c>
      <c r="F157" s="17">
        <f t="shared" si="75"/>
        <v>0</v>
      </c>
      <c r="G157" s="17">
        <f t="shared" si="75"/>
        <v>0</v>
      </c>
      <c r="H157" s="17">
        <f t="shared" si="75"/>
        <v>0</v>
      </c>
      <c r="I157" s="17">
        <f t="shared" si="75"/>
        <v>0</v>
      </c>
      <c r="J157" s="17">
        <f t="shared" si="75"/>
        <v>0</v>
      </c>
      <c r="K157" s="17">
        <f t="shared" si="75"/>
        <v>0</v>
      </c>
      <c r="L157" s="17">
        <f t="shared" si="75"/>
        <v>0</v>
      </c>
      <c r="M157" s="17">
        <f t="shared" si="75"/>
        <v>0</v>
      </c>
      <c r="O157" s="17">
        <f>M157</f>
        <v>0</v>
      </c>
      <c r="P157" s="47"/>
    </row>
    <row r="158" spans="1:16" x14ac:dyDescent="0.25">
      <c r="A158" s="22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O158" s="16"/>
    </row>
    <row r="159" spans="1:16" x14ac:dyDescent="0.25">
      <c r="A159" s="22" t="str">
        <f>Vertaling!$B$25</f>
        <v>Kosten rente per maand</v>
      </c>
      <c r="B159" s="16">
        <f t="shared" ref="B159:M159" si="76">IF(B157&lt;0.001,0,Rentekosten*B157)</f>
        <v>0</v>
      </c>
      <c r="C159" s="16">
        <f t="shared" si="76"/>
        <v>0</v>
      </c>
      <c r="D159" s="16">
        <f t="shared" si="76"/>
        <v>0</v>
      </c>
      <c r="E159" s="16">
        <f t="shared" si="76"/>
        <v>0</v>
      </c>
      <c r="F159" s="16">
        <f t="shared" si="76"/>
        <v>0</v>
      </c>
      <c r="G159" s="16">
        <f t="shared" si="76"/>
        <v>0</v>
      </c>
      <c r="H159" s="16">
        <f t="shared" si="76"/>
        <v>0</v>
      </c>
      <c r="I159" s="16">
        <f t="shared" si="76"/>
        <v>0</v>
      </c>
      <c r="J159" s="16">
        <f t="shared" si="76"/>
        <v>0</v>
      </c>
      <c r="K159" s="16">
        <f t="shared" si="76"/>
        <v>0</v>
      </c>
      <c r="L159" s="16">
        <f t="shared" si="76"/>
        <v>0</v>
      </c>
      <c r="M159" s="16">
        <f t="shared" si="76"/>
        <v>0</v>
      </c>
      <c r="O159" s="16">
        <f>SUM(B159:M159)</f>
        <v>0</v>
      </c>
    </row>
    <row r="160" spans="1:16" ht="15.75" thickBot="1" x14ac:dyDescent="0.3">
      <c r="A160" s="22" t="str">
        <f>Vertaling!$B$26</f>
        <v>Aflossing per maand</v>
      </c>
      <c r="B160" s="36">
        <f t="shared" ref="B160:M160" si="77">IF(B157&lt;0.001,0,IF(B156&lt;$C$11+1,0,IF($G$7="Lineair",Aflossingsbedrag,IF($G$7="Annuïteit",IFERROR($G$11-Rentekosten*(B157),0),0))))</f>
        <v>0</v>
      </c>
      <c r="C160" s="36">
        <f t="shared" si="77"/>
        <v>0</v>
      </c>
      <c r="D160" s="36">
        <f t="shared" si="77"/>
        <v>0</v>
      </c>
      <c r="E160" s="36">
        <f t="shared" si="77"/>
        <v>0</v>
      </c>
      <c r="F160" s="36">
        <f t="shared" si="77"/>
        <v>0</v>
      </c>
      <c r="G160" s="36">
        <f t="shared" si="77"/>
        <v>0</v>
      </c>
      <c r="H160" s="36">
        <f t="shared" si="77"/>
        <v>0</v>
      </c>
      <c r="I160" s="36">
        <f t="shared" si="77"/>
        <v>0</v>
      </c>
      <c r="J160" s="36">
        <f t="shared" si="77"/>
        <v>0</v>
      </c>
      <c r="K160" s="36">
        <f t="shared" si="77"/>
        <v>0</v>
      </c>
      <c r="L160" s="36">
        <f t="shared" si="77"/>
        <v>0</v>
      </c>
      <c r="M160" s="36">
        <f t="shared" si="77"/>
        <v>0</v>
      </c>
      <c r="N160" s="38"/>
      <c r="O160" s="39">
        <f>SUM(B160:M160)</f>
        <v>0</v>
      </c>
    </row>
    <row r="161" spans="1:16" ht="15.75" thickTop="1" x14ac:dyDescent="0.25">
      <c r="A161" s="27" t="str">
        <f>Vertaling!$B$29</f>
        <v>Te betalen per maand</v>
      </c>
      <c r="B161" s="17">
        <f t="shared" ref="B161:M161" si="78">SUM(B159:B160)</f>
        <v>0</v>
      </c>
      <c r="C161" s="17">
        <f t="shared" si="78"/>
        <v>0</v>
      </c>
      <c r="D161" s="17">
        <f t="shared" si="78"/>
        <v>0</v>
      </c>
      <c r="E161" s="17">
        <f t="shared" si="78"/>
        <v>0</v>
      </c>
      <c r="F161" s="17">
        <f t="shared" si="78"/>
        <v>0</v>
      </c>
      <c r="G161" s="17">
        <f t="shared" si="78"/>
        <v>0</v>
      </c>
      <c r="H161" s="17">
        <f t="shared" si="78"/>
        <v>0</v>
      </c>
      <c r="I161" s="17">
        <f t="shared" si="78"/>
        <v>0</v>
      </c>
      <c r="J161" s="17">
        <f t="shared" si="78"/>
        <v>0</v>
      </c>
      <c r="K161" s="17">
        <f t="shared" si="78"/>
        <v>0</v>
      </c>
      <c r="L161" s="17">
        <f t="shared" si="78"/>
        <v>0</v>
      </c>
      <c r="M161" s="17">
        <f t="shared" si="78"/>
        <v>0</v>
      </c>
      <c r="O161" s="17">
        <f>SUM(O159:O160)</f>
        <v>0</v>
      </c>
    </row>
    <row r="162" spans="1:16" hidden="1" x14ac:dyDescent="0.25">
      <c r="A162" s="20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O162" s="17"/>
    </row>
    <row r="163" spans="1:16" hidden="1" x14ac:dyDescent="0.25">
      <c r="A163" s="27" t="s">
        <v>23</v>
      </c>
      <c r="B163" s="16">
        <f>IF(B157&lt;0.001,0,dropdown!$D$20*B157)</f>
        <v>0</v>
      </c>
      <c r="C163" s="16">
        <f>IF(C157&lt;0.001,0,dropdown!$D$20*C157)</f>
        <v>0</v>
      </c>
      <c r="D163" s="16">
        <f>IF(D157&lt;0.001,0,dropdown!$D$20*D157)</f>
        <v>0</v>
      </c>
      <c r="E163" s="16">
        <f>IF(E157&lt;0.001,0,dropdown!$D$20*E157)</f>
        <v>0</v>
      </c>
      <c r="F163" s="16">
        <f>IF(F157&lt;0.001,0,dropdown!$D$20*F157)</f>
        <v>0</v>
      </c>
      <c r="G163" s="16">
        <f>IF(G157&lt;0.001,0,dropdown!$D$20*G157)</f>
        <v>0</v>
      </c>
      <c r="H163" s="16">
        <f>IF(H157&lt;0.001,0,dropdown!$D$20*H157)</f>
        <v>0</v>
      </c>
      <c r="I163" s="16">
        <f>IF(I157&lt;0.001,0,dropdown!$D$20*I157)</f>
        <v>0</v>
      </c>
      <c r="J163" s="16">
        <f>IF(J157&lt;0.001,0,dropdown!$D$20*J157)</f>
        <v>0</v>
      </c>
      <c r="K163" s="16">
        <f>IF(K157&lt;0.001,0,dropdown!$D$20*K157)</f>
        <v>0</v>
      </c>
      <c r="L163" s="16">
        <f>IF(L157&lt;0.001,0,dropdown!$D$20*L157)</f>
        <v>0</v>
      </c>
      <c r="M163" s="16">
        <f>IF(M157&lt;0.001,0,dropdown!$D$20*M157)</f>
        <v>0</v>
      </c>
      <c r="N163" s="16">
        <f>IF(N155&lt;0.001,0,dropdown!$D$19*N155)</f>
        <v>0</v>
      </c>
      <c r="O163" s="16">
        <f>SUM(B163:M163)*(1/(1+dropdown!$D$19))^VALUE(RIGHT(A156,2))</f>
        <v>0</v>
      </c>
    </row>
    <row r="164" spans="1:16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O164" s="13"/>
    </row>
    <row r="165" spans="1:16" x14ac:dyDescent="0.25">
      <c r="A165" s="33" t="str">
        <f>Vertaling!$B$23&amp;" "&amp;ROUNDUP(B165/12,0)</f>
        <v>Jaar 17</v>
      </c>
      <c r="B165" s="34">
        <f t="shared" ref="B165:M165" si="79">B156+12</f>
        <v>193</v>
      </c>
      <c r="C165" s="34">
        <f t="shared" si="79"/>
        <v>194</v>
      </c>
      <c r="D165" s="34">
        <f t="shared" si="79"/>
        <v>195</v>
      </c>
      <c r="E165" s="34">
        <f t="shared" si="79"/>
        <v>196</v>
      </c>
      <c r="F165" s="34">
        <f t="shared" si="79"/>
        <v>197</v>
      </c>
      <c r="G165" s="34">
        <f t="shared" si="79"/>
        <v>198</v>
      </c>
      <c r="H165" s="34">
        <f t="shared" si="79"/>
        <v>199</v>
      </c>
      <c r="I165" s="34">
        <f t="shared" si="79"/>
        <v>200</v>
      </c>
      <c r="J165" s="34">
        <f t="shared" si="79"/>
        <v>201</v>
      </c>
      <c r="K165" s="34">
        <f t="shared" si="79"/>
        <v>202</v>
      </c>
      <c r="L165" s="34">
        <f t="shared" si="79"/>
        <v>203</v>
      </c>
      <c r="M165" s="34">
        <f t="shared" si="79"/>
        <v>204</v>
      </c>
      <c r="N165" s="35"/>
      <c r="O165" s="34" t="s">
        <v>20</v>
      </c>
    </row>
    <row r="166" spans="1:16" x14ac:dyDescent="0.25">
      <c r="A166" s="22" t="str">
        <f>Vertaling!$B$24</f>
        <v>Bedrag lening begin maand</v>
      </c>
      <c r="B166" s="17">
        <f>IF(M157-M160&lt;0.5,0,M157-M160)</f>
        <v>0</v>
      </c>
      <c r="C166" s="17">
        <f t="shared" ref="C166:M166" si="80">IF(B166-B169&lt;0.5,0,B166-B169)</f>
        <v>0</v>
      </c>
      <c r="D166" s="17">
        <f t="shared" si="80"/>
        <v>0</v>
      </c>
      <c r="E166" s="17">
        <f t="shared" si="80"/>
        <v>0</v>
      </c>
      <c r="F166" s="17">
        <f t="shared" si="80"/>
        <v>0</v>
      </c>
      <c r="G166" s="17">
        <f t="shared" si="80"/>
        <v>0</v>
      </c>
      <c r="H166" s="17">
        <f t="shared" si="80"/>
        <v>0</v>
      </c>
      <c r="I166" s="17">
        <f t="shared" si="80"/>
        <v>0</v>
      </c>
      <c r="J166" s="17">
        <f t="shared" si="80"/>
        <v>0</v>
      </c>
      <c r="K166" s="17">
        <f t="shared" si="80"/>
        <v>0</v>
      </c>
      <c r="L166" s="17">
        <f t="shared" si="80"/>
        <v>0</v>
      </c>
      <c r="M166" s="17">
        <f t="shared" si="80"/>
        <v>0</v>
      </c>
      <c r="O166" s="17">
        <f>M166</f>
        <v>0</v>
      </c>
    </row>
    <row r="167" spans="1:16" x14ac:dyDescent="0.25">
      <c r="A167" s="22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O167" s="16"/>
    </row>
    <row r="168" spans="1:16" x14ac:dyDescent="0.25">
      <c r="A168" s="22" t="str">
        <f>Vertaling!$B$25</f>
        <v>Kosten rente per maand</v>
      </c>
      <c r="B168" s="16">
        <f t="shared" ref="B168:M168" si="81">IF(B166&lt;0.001,0,Rentekosten*B166)</f>
        <v>0</v>
      </c>
      <c r="C168" s="16">
        <f t="shared" si="81"/>
        <v>0</v>
      </c>
      <c r="D168" s="16">
        <f t="shared" si="81"/>
        <v>0</v>
      </c>
      <c r="E168" s="16">
        <f t="shared" si="81"/>
        <v>0</v>
      </c>
      <c r="F168" s="16">
        <f t="shared" si="81"/>
        <v>0</v>
      </c>
      <c r="G168" s="16">
        <f t="shared" si="81"/>
        <v>0</v>
      </c>
      <c r="H168" s="16">
        <f t="shared" si="81"/>
        <v>0</v>
      </c>
      <c r="I168" s="16">
        <f t="shared" si="81"/>
        <v>0</v>
      </c>
      <c r="J168" s="16">
        <f t="shared" si="81"/>
        <v>0</v>
      </c>
      <c r="K168" s="16">
        <f t="shared" si="81"/>
        <v>0</v>
      </c>
      <c r="L168" s="16">
        <f t="shared" si="81"/>
        <v>0</v>
      </c>
      <c r="M168" s="16">
        <f t="shared" si="81"/>
        <v>0</v>
      </c>
      <c r="O168" s="16">
        <f>SUM(B168:M168)</f>
        <v>0</v>
      </c>
    </row>
    <row r="169" spans="1:16" ht="15.75" thickBot="1" x14ac:dyDescent="0.3">
      <c r="A169" s="22" t="str">
        <f>Vertaling!$B$26</f>
        <v>Aflossing per maand</v>
      </c>
      <c r="B169" s="36">
        <f t="shared" ref="B169:M169" si="82">IF(B166&lt;0.001,0,IF(B165&lt;$C$11+1,0,IF($G$7="Lineair",Aflossingsbedrag,IF($G$7="Annuïteit",IFERROR($G$11-Rentekosten*(B166),0),0))))</f>
        <v>0</v>
      </c>
      <c r="C169" s="36">
        <f t="shared" si="82"/>
        <v>0</v>
      </c>
      <c r="D169" s="36">
        <f t="shared" si="82"/>
        <v>0</v>
      </c>
      <c r="E169" s="36">
        <f t="shared" si="82"/>
        <v>0</v>
      </c>
      <c r="F169" s="36">
        <f t="shared" si="82"/>
        <v>0</v>
      </c>
      <c r="G169" s="36">
        <f t="shared" si="82"/>
        <v>0</v>
      </c>
      <c r="H169" s="36">
        <f t="shared" si="82"/>
        <v>0</v>
      </c>
      <c r="I169" s="36">
        <f t="shared" si="82"/>
        <v>0</v>
      </c>
      <c r="J169" s="36">
        <f t="shared" si="82"/>
        <v>0</v>
      </c>
      <c r="K169" s="36">
        <f t="shared" si="82"/>
        <v>0</v>
      </c>
      <c r="L169" s="36">
        <f t="shared" si="82"/>
        <v>0</v>
      </c>
      <c r="M169" s="36">
        <f t="shared" si="82"/>
        <v>0</v>
      </c>
      <c r="N169" s="38"/>
      <c r="O169" s="39">
        <f>SUM(B169:M169)</f>
        <v>0</v>
      </c>
    </row>
    <row r="170" spans="1:16" ht="15.75" thickTop="1" x14ac:dyDescent="0.25">
      <c r="A170" s="27" t="str">
        <f>Vertaling!$B$29</f>
        <v>Te betalen per maand</v>
      </c>
      <c r="B170" s="17">
        <f t="shared" ref="B170:M170" si="83">SUM(B168:B169)</f>
        <v>0</v>
      </c>
      <c r="C170" s="17">
        <f t="shared" si="83"/>
        <v>0</v>
      </c>
      <c r="D170" s="17">
        <f t="shared" si="83"/>
        <v>0</v>
      </c>
      <c r="E170" s="17">
        <f t="shared" si="83"/>
        <v>0</v>
      </c>
      <c r="F170" s="17">
        <f t="shared" si="83"/>
        <v>0</v>
      </c>
      <c r="G170" s="17">
        <f t="shared" si="83"/>
        <v>0</v>
      </c>
      <c r="H170" s="17">
        <f t="shared" si="83"/>
        <v>0</v>
      </c>
      <c r="I170" s="17">
        <f t="shared" si="83"/>
        <v>0</v>
      </c>
      <c r="J170" s="17">
        <f t="shared" si="83"/>
        <v>0</v>
      </c>
      <c r="K170" s="17">
        <f t="shared" si="83"/>
        <v>0</v>
      </c>
      <c r="L170" s="17">
        <f t="shared" si="83"/>
        <v>0</v>
      </c>
      <c r="M170" s="17">
        <f t="shared" si="83"/>
        <v>0</v>
      </c>
      <c r="O170" s="17">
        <f>SUM(O168:O169)</f>
        <v>0</v>
      </c>
    </row>
    <row r="171" spans="1:16" hidden="1" x14ac:dyDescent="0.25">
      <c r="A171" s="20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O171" s="17"/>
    </row>
    <row r="172" spans="1:16" hidden="1" x14ac:dyDescent="0.25">
      <c r="A172" s="27" t="s">
        <v>23</v>
      </c>
      <c r="B172" s="16">
        <f>IF(B166&lt;0.001,0,dropdown!$D$20*B166)</f>
        <v>0</v>
      </c>
      <c r="C172" s="16">
        <f>IF(C166&lt;0.001,0,dropdown!$D$20*C166)</f>
        <v>0</v>
      </c>
      <c r="D172" s="16">
        <f>IF(D166&lt;0.001,0,dropdown!$D$20*D166)</f>
        <v>0</v>
      </c>
      <c r="E172" s="16">
        <f>IF(E166&lt;0.001,0,dropdown!$D$20*E166)</f>
        <v>0</v>
      </c>
      <c r="F172" s="16">
        <f>IF(F166&lt;0.001,0,dropdown!$D$20*F166)</f>
        <v>0</v>
      </c>
      <c r="G172" s="16">
        <f>IF(G166&lt;0.001,0,dropdown!$D$20*G166)</f>
        <v>0</v>
      </c>
      <c r="H172" s="16">
        <f>IF(H166&lt;0.001,0,dropdown!$D$20*H166)</f>
        <v>0</v>
      </c>
      <c r="I172" s="16">
        <f>IF(I166&lt;0.001,0,dropdown!$D$20*I166)</f>
        <v>0</v>
      </c>
      <c r="J172" s="16">
        <f>IF(J166&lt;0.001,0,dropdown!$D$20*J166)</f>
        <v>0</v>
      </c>
      <c r="K172" s="16">
        <f>IF(K166&lt;0.001,0,dropdown!$D$20*K166)</f>
        <v>0</v>
      </c>
      <c r="L172" s="16">
        <f>IF(L166&lt;0.001,0,dropdown!$D$20*L166)</f>
        <v>0</v>
      </c>
      <c r="M172" s="16">
        <f>IF(M166&lt;0.001,0,dropdown!$D$20*M166)</f>
        <v>0</v>
      </c>
      <c r="N172" s="16">
        <f>IF(N164&lt;0.001,0,dropdown!$D$19*N164)</f>
        <v>0</v>
      </c>
      <c r="O172" s="16">
        <f>SUM(B172:M172)*(1/(1+dropdown!$D$19))^VALUE(RIGHT(A165,2))</f>
        <v>0</v>
      </c>
    </row>
    <row r="173" spans="1:16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O173" s="13"/>
    </row>
    <row r="174" spans="1:16" x14ac:dyDescent="0.25">
      <c r="A174" s="33" t="str">
        <f>Vertaling!$B$23&amp;" "&amp;ROUNDUP(B174/12,0)</f>
        <v>Jaar 18</v>
      </c>
      <c r="B174" s="34">
        <f t="shared" ref="B174:M174" si="84">B165+12</f>
        <v>205</v>
      </c>
      <c r="C174" s="34">
        <f t="shared" si="84"/>
        <v>206</v>
      </c>
      <c r="D174" s="34">
        <f t="shared" si="84"/>
        <v>207</v>
      </c>
      <c r="E174" s="34">
        <f t="shared" si="84"/>
        <v>208</v>
      </c>
      <c r="F174" s="34">
        <f t="shared" si="84"/>
        <v>209</v>
      </c>
      <c r="G174" s="34">
        <f t="shared" si="84"/>
        <v>210</v>
      </c>
      <c r="H174" s="34">
        <f t="shared" si="84"/>
        <v>211</v>
      </c>
      <c r="I174" s="34">
        <f t="shared" si="84"/>
        <v>212</v>
      </c>
      <c r="J174" s="34">
        <f t="shared" si="84"/>
        <v>213</v>
      </c>
      <c r="K174" s="34">
        <f t="shared" si="84"/>
        <v>214</v>
      </c>
      <c r="L174" s="34">
        <f t="shared" si="84"/>
        <v>215</v>
      </c>
      <c r="M174" s="34">
        <f t="shared" si="84"/>
        <v>216</v>
      </c>
      <c r="N174" s="35"/>
      <c r="O174" s="34" t="s">
        <v>20</v>
      </c>
    </row>
    <row r="175" spans="1:16" x14ac:dyDescent="0.25">
      <c r="A175" s="22" t="str">
        <f>Vertaling!$B$24</f>
        <v>Bedrag lening begin maand</v>
      </c>
      <c r="B175" s="17">
        <f>IF(M166-M169&lt;0.5,0,M166-M169)</f>
        <v>0</v>
      </c>
      <c r="C175" s="17">
        <f t="shared" ref="C175:M175" si="85">IF(B175-B178&lt;0.5,0,B175-B178)</f>
        <v>0</v>
      </c>
      <c r="D175" s="17">
        <f t="shared" si="85"/>
        <v>0</v>
      </c>
      <c r="E175" s="17">
        <f t="shared" si="85"/>
        <v>0</v>
      </c>
      <c r="F175" s="17">
        <f t="shared" si="85"/>
        <v>0</v>
      </c>
      <c r="G175" s="17">
        <f t="shared" si="85"/>
        <v>0</v>
      </c>
      <c r="H175" s="17">
        <f t="shared" si="85"/>
        <v>0</v>
      </c>
      <c r="I175" s="17">
        <f t="shared" si="85"/>
        <v>0</v>
      </c>
      <c r="J175" s="17">
        <f t="shared" si="85"/>
        <v>0</v>
      </c>
      <c r="K175" s="17">
        <f t="shared" si="85"/>
        <v>0</v>
      </c>
      <c r="L175" s="17">
        <f t="shared" si="85"/>
        <v>0</v>
      </c>
      <c r="M175" s="17">
        <f t="shared" si="85"/>
        <v>0</v>
      </c>
      <c r="O175" s="17">
        <f>M175</f>
        <v>0</v>
      </c>
      <c r="P175" s="47"/>
    </row>
    <row r="176" spans="1:16" x14ac:dyDescent="0.25">
      <c r="A176" s="22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O176" s="16"/>
    </row>
    <row r="177" spans="1:15" x14ac:dyDescent="0.25">
      <c r="A177" s="22" t="str">
        <f>Vertaling!$B$25</f>
        <v>Kosten rente per maand</v>
      </c>
      <c r="B177" s="16">
        <f t="shared" ref="B177:M177" si="86">IF(B175&lt;0.001,0,Rentekosten*B175)</f>
        <v>0</v>
      </c>
      <c r="C177" s="16">
        <f t="shared" si="86"/>
        <v>0</v>
      </c>
      <c r="D177" s="16">
        <f t="shared" si="86"/>
        <v>0</v>
      </c>
      <c r="E177" s="16">
        <f t="shared" si="86"/>
        <v>0</v>
      </c>
      <c r="F177" s="16">
        <f t="shared" si="86"/>
        <v>0</v>
      </c>
      <c r="G177" s="16">
        <f t="shared" si="86"/>
        <v>0</v>
      </c>
      <c r="H177" s="16">
        <f t="shared" si="86"/>
        <v>0</v>
      </c>
      <c r="I177" s="16">
        <f t="shared" si="86"/>
        <v>0</v>
      </c>
      <c r="J177" s="16">
        <f t="shared" si="86"/>
        <v>0</v>
      </c>
      <c r="K177" s="16">
        <f t="shared" si="86"/>
        <v>0</v>
      </c>
      <c r="L177" s="16">
        <f t="shared" si="86"/>
        <v>0</v>
      </c>
      <c r="M177" s="16">
        <f t="shared" si="86"/>
        <v>0</v>
      </c>
      <c r="O177" s="16">
        <f>SUM(B177:M177)</f>
        <v>0</v>
      </c>
    </row>
    <row r="178" spans="1:15" ht="15.75" thickBot="1" x14ac:dyDescent="0.3">
      <c r="A178" s="22" t="str">
        <f>Vertaling!$B$26</f>
        <v>Aflossing per maand</v>
      </c>
      <c r="B178" s="36">
        <f t="shared" ref="B178:M178" si="87">IF(B175&lt;0.001,0,IF(B174&lt;$C$11+1,0,IF($G$7="Lineair",Aflossingsbedrag,IF($G$7="Annuïteit",IFERROR($G$11-Rentekosten*(B175),0),0))))</f>
        <v>0</v>
      </c>
      <c r="C178" s="36">
        <f t="shared" si="87"/>
        <v>0</v>
      </c>
      <c r="D178" s="36">
        <f t="shared" si="87"/>
        <v>0</v>
      </c>
      <c r="E178" s="36">
        <f t="shared" si="87"/>
        <v>0</v>
      </c>
      <c r="F178" s="36">
        <f t="shared" si="87"/>
        <v>0</v>
      </c>
      <c r="G178" s="36">
        <f t="shared" si="87"/>
        <v>0</v>
      </c>
      <c r="H178" s="36">
        <f t="shared" si="87"/>
        <v>0</v>
      </c>
      <c r="I178" s="36">
        <f t="shared" si="87"/>
        <v>0</v>
      </c>
      <c r="J178" s="36">
        <f t="shared" si="87"/>
        <v>0</v>
      </c>
      <c r="K178" s="36">
        <f t="shared" si="87"/>
        <v>0</v>
      </c>
      <c r="L178" s="36">
        <f t="shared" si="87"/>
        <v>0</v>
      </c>
      <c r="M178" s="36">
        <f t="shared" si="87"/>
        <v>0</v>
      </c>
      <c r="N178" s="38"/>
      <c r="O178" s="39">
        <f>SUM(B178:M178)</f>
        <v>0</v>
      </c>
    </row>
    <row r="179" spans="1:15" ht="15.75" thickTop="1" x14ac:dyDescent="0.25">
      <c r="A179" s="27" t="str">
        <f>Vertaling!$B$29</f>
        <v>Te betalen per maand</v>
      </c>
      <c r="B179" s="17">
        <f t="shared" ref="B179:M179" si="88">SUM(B177:B178)</f>
        <v>0</v>
      </c>
      <c r="C179" s="17">
        <f t="shared" si="88"/>
        <v>0</v>
      </c>
      <c r="D179" s="17">
        <f t="shared" si="88"/>
        <v>0</v>
      </c>
      <c r="E179" s="17">
        <f t="shared" si="88"/>
        <v>0</v>
      </c>
      <c r="F179" s="17">
        <f t="shared" si="88"/>
        <v>0</v>
      </c>
      <c r="G179" s="17">
        <f t="shared" si="88"/>
        <v>0</v>
      </c>
      <c r="H179" s="17">
        <f t="shared" si="88"/>
        <v>0</v>
      </c>
      <c r="I179" s="17">
        <f t="shared" si="88"/>
        <v>0</v>
      </c>
      <c r="J179" s="17">
        <f t="shared" si="88"/>
        <v>0</v>
      </c>
      <c r="K179" s="17">
        <f t="shared" si="88"/>
        <v>0</v>
      </c>
      <c r="L179" s="17">
        <f t="shared" si="88"/>
        <v>0</v>
      </c>
      <c r="M179" s="17">
        <f t="shared" si="88"/>
        <v>0</v>
      </c>
      <c r="O179" s="17">
        <f>SUM(O177:O178)</f>
        <v>0</v>
      </c>
    </row>
    <row r="180" spans="1:15" hidden="1" x14ac:dyDescent="0.25">
      <c r="A180" s="20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O180" s="17"/>
    </row>
    <row r="181" spans="1:15" hidden="1" x14ac:dyDescent="0.25">
      <c r="A181" s="27" t="s">
        <v>23</v>
      </c>
      <c r="B181" s="16">
        <f>IF(B175&lt;0.001,0,dropdown!$D$20*B175)</f>
        <v>0</v>
      </c>
      <c r="C181" s="16">
        <f>IF(C175&lt;0.001,0,dropdown!$D$20*C175)</f>
        <v>0</v>
      </c>
      <c r="D181" s="16">
        <f>IF(D175&lt;0.001,0,dropdown!$D$20*D175)</f>
        <v>0</v>
      </c>
      <c r="E181" s="16">
        <f>IF(E175&lt;0.001,0,dropdown!$D$20*E175)</f>
        <v>0</v>
      </c>
      <c r="F181" s="16">
        <f>IF(F175&lt;0.001,0,dropdown!$D$20*F175)</f>
        <v>0</v>
      </c>
      <c r="G181" s="16">
        <f>IF(G175&lt;0.001,0,dropdown!$D$20*G175)</f>
        <v>0</v>
      </c>
      <c r="H181" s="16">
        <f>IF(H175&lt;0.001,0,dropdown!$D$20*H175)</f>
        <v>0</v>
      </c>
      <c r="I181" s="16">
        <f>IF(I175&lt;0.001,0,dropdown!$D$20*I175)</f>
        <v>0</v>
      </c>
      <c r="J181" s="16">
        <f>IF(J175&lt;0.001,0,dropdown!$D$20*J175)</f>
        <v>0</v>
      </c>
      <c r="K181" s="16">
        <f>IF(K175&lt;0.001,0,dropdown!$D$20*K175)</f>
        <v>0</v>
      </c>
      <c r="L181" s="16">
        <f>IF(L175&lt;0.001,0,dropdown!$D$20*L175)</f>
        <v>0</v>
      </c>
      <c r="M181" s="16">
        <f>IF(M175&lt;0.001,0,dropdown!$D$20*M175)</f>
        <v>0</v>
      </c>
      <c r="N181" s="16">
        <f>IF(N173&lt;0.001,0,dropdown!$D$19*N173)</f>
        <v>0</v>
      </c>
      <c r="O181" s="16">
        <f>SUM(B181:M181)*(1/(1+dropdown!$D$19))^VALUE(RIGHT(A174,2))</f>
        <v>0</v>
      </c>
    </row>
    <row r="182" spans="1:15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O182" s="13"/>
    </row>
    <row r="183" spans="1:15" x14ac:dyDescent="0.25">
      <c r="A183" s="33" t="str">
        <f>Vertaling!$B$23&amp;" "&amp;ROUNDUP(B183/12,0)</f>
        <v>Jaar 19</v>
      </c>
      <c r="B183" s="34">
        <f t="shared" ref="B183:M183" si="89">B174+12</f>
        <v>217</v>
      </c>
      <c r="C183" s="34">
        <f t="shared" si="89"/>
        <v>218</v>
      </c>
      <c r="D183" s="34">
        <f t="shared" si="89"/>
        <v>219</v>
      </c>
      <c r="E183" s="34">
        <f t="shared" si="89"/>
        <v>220</v>
      </c>
      <c r="F183" s="34">
        <f t="shared" si="89"/>
        <v>221</v>
      </c>
      <c r="G183" s="34">
        <f t="shared" si="89"/>
        <v>222</v>
      </c>
      <c r="H183" s="34">
        <f t="shared" si="89"/>
        <v>223</v>
      </c>
      <c r="I183" s="34">
        <f t="shared" si="89"/>
        <v>224</v>
      </c>
      <c r="J183" s="34">
        <f t="shared" si="89"/>
        <v>225</v>
      </c>
      <c r="K183" s="34">
        <f t="shared" si="89"/>
        <v>226</v>
      </c>
      <c r="L183" s="34">
        <f t="shared" si="89"/>
        <v>227</v>
      </c>
      <c r="M183" s="34">
        <f t="shared" si="89"/>
        <v>228</v>
      </c>
      <c r="N183" s="35"/>
      <c r="O183" s="34" t="s">
        <v>20</v>
      </c>
    </row>
    <row r="184" spans="1:15" x14ac:dyDescent="0.25">
      <c r="A184" s="22" t="str">
        <f>Vertaling!$B$24</f>
        <v>Bedrag lening begin maand</v>
      </c>
      <c r="B184" s="17">
        <f>IF(M175-M178&lt;0.5,0,M175-M178)</f>
        <v>0</v>
      </c>
      <c r="C184" s="17">
        <f t="shared" ref="C184:M184" si="90">IF(B184-B187&lt;0.5,0,B184-B187)</f>
        <v>0</v>
      </c>
      <c r="D184" s="17">
        <f t="shared" si="90"/>
        <v>0</v>
      </c>
      <c r="E184" s="17">
        <f t="shared" si="90"/>
        <v>0</v>
      </c>
      <c r="F184" s="17">
        <f t="shared" si="90"/>
        <v>0</v>
      </c>
      <c r="G184" s="17">
        <f t="shared" si="90"/>
        <v>0</v>
      </c>
      <c r="H184" s="17">
        <f t="shared" si="90"/>
        <v>0</v>
      </c>
      <c r="I184" s="17">
        <f t="shared" si="90"/>
        <v>0</v>
      </c>
      <c r="J184" s="17">
        <f t="shared" si="90"/>
        <v>0</v>
      </c>
      <c r="K184" s="17">
        <f t="shared" si="90"/>
        <v>0</v>
      </c>
      <c r="L184" s="17">
        <f t="shared" si="90"/>
        <v>0</v>
      </c>
      <c r="M184" s="17">
        <f t="shared" si="90"/>
        <v>0</v>
      </c>
      <c r="O184" s="17">
        <f>M184</f>
        <v>0</v>
      </c>
    </row>
    <row r="185" spans="1:15" x14ac:dyDescent="0.25">
      <c r="A185" s="22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O185" s="16"/>
    </row>
    <row r="186" spans="1:15" x14ac:dyDescent="0.25">
      <c r="A186" s="22" t="str">
        <f>Vertaling!$B$25</f>
        <v>Kosten rente per maand</v>
      </c>
      <c r="B186" s="16">
        <f t="shared" ref="B186:M186" si="91">IF(B184&lt;0.001,0,Rentekosten*B184)</f>
        <v>0</v>
      </c>
      <c r="C186" s="16">
        <f t="shared" si="91"/>
        <v>0</v>
      </c>
      <c r="D186" s="16">
        <f t="shared" si="91"/>
        <v>0</v>
      </c>
      <c r="E186" s="16">
        <f t="shared" si="91"/>
        <v>0</v>
      </c>
      <c r="F186" s="16">
        <f t="shared" si="91"/>
        <v>0</v>
      </c>
      <c r="G186" s="16">
        <f t="shared" si="91"/>
        <v>0</v>
      </c>
      <c r="H186" s="16">
        <f t="shared" si="91"/>
        <v>0</v>
      </c>
      <c r="I186" s="16">
        <f t="shared" si="91"/>
        <v>0</v>
      </c>
      <c r="J186" s="16">
        <f t="shared" si="91"/>
        <v>0</v>
      </c>
      <c r="K186" s="16">
        <f t="shared" si="91"/>
        <v>0</v>
      </c>
      <c r="L186" s="16">
        <f t="shared" si="91"/>
        <v>0</v>
      </c>
      <c r="M186" s="16">
        <f t="shared" si="91"/>
        <v>0</v>
      </c>
      <c r="O186" s="16">
        <f>SUM(B186:M186)</f>
        <v>0</v>
      </c>
    </row>
    <row r="187" spans="1:15" ht="15.75" thickBot="1" x14ac:dyDescent="0.3">
      <c r="A187" s="22" t="str">
        <f>Vertaling!$B$26</f>
        <v>Aflossing per maand</v>
      </c>
      <c r="B187" s="36">
        <f t="shared" ref="B187:M187" si="92">IF(B184&lt;0.001,0,IF(B183&lt;$C$11+1,0,IF($G$7="Lineair",Aflossingsbedrag,IF($G$7="Annuïteit",IFERROR($G$11-Rentekosten*(B184),0),0))))</f>
        <v>0</v>
      </c>
      <c r="C187" s="36">
        <f t="shared" si="92"/>
        <v>0</v>
      </c>
      <c r="D187" s="36">
        <f t="shared" si="92"/>
        <v>0</v>
      </c>
      <c r="E187" s="36">
        <f t="shared" si="92"/>
        <v>0</v>
      </c>
      <c r="F187" s="36">
        <f t="shared" si="92"/>
        <v>0</v>
      </c>
      <c r="G187" s="36">
        <f t="shared" si="92"/>
        <v>0</v>
      </c>
      <c r="H187" s="36">
        <f t="shared" si="92"/>
        <v>0</v>
      </c>
      <c r="I187" s="36">
        <f t="shared" si="92"/>
        <v>0</v>
      </c>
      <c r="J187" s="36">
        <f t="shared" si="92"/>
        <v>0</v>
      </c>
      <c r="K187" s="36">
        <f t="shared" si="92"/>
        <v>0</v>
      </c>
      <c r="L187" s="36">
        <f t="shared" si="92"/>
        <v>0</v>
      </c>
      <c r="M187" s="36">
        <f t="shared" si="92"/>
        <v>0</v>
      </c>
      <c r="N187" s="38"/>
      <c r="O187" s="39">
        <f>SUM(B187:M187)</f>
        <v>0</v>
      </c>
    </row>
    <row r="188" spans="1:15" ht="15.75" thickTop="1" x14ac:dyDescent="0.25">
      <c r="A188" s="27" t="str">
        <f>Vertaling!$B$29</f>
        <v>Te betalen per maand</v>
      </c>
      <c r="B188" s="17">
        <f t="shared" ref="B188:M188" si="93">SUM(B186:B187)</f>
        <v>0</v>
      </c>
      <c r="C188" s="17">
        <f t="shared" si="93"/>
        <v>0</v>
      </c>
      <c r="D188" s="17">
        <f t="shared" si="93"/>
        <v>0</v>
      </c>
      <c r="E188" s="17">
        <f t="shared" si="93"/>
        <v>0</v>
      </c>
      <c r="F188" s="17">
        <f t="shared" si="93"/>
        <v>0</v>
      </c>
      <c r="G188" s="17">
        <f t="shared" si="93"/>
        <v>0</v>
      </c>
      <c r="H188" s="17">
        <f t="shared" si="93"/>
        <v>0</v>
      </c>
      <c r="I188" s="17">
        <f t="shared" si="93"/>
        <v>0</v>
      </c>
      <c r="J188" s="17">
        <f t="shared" si="93"/>
        <v>0</v>
      </c>
      <c r="K188" s="17">
        <f t="shared" si="93"/>
        <v>0</v>
      </c>
      <c r="L188" s="17">
        <f t="shared" si="93"/>
        <v>0</v>
      </c>
      <c r="M188" s="17">
        <f t="shared" si="93"/>
        <v>0</v>
      </c>
      <c r="O188" s="17">
        <f>SUM(O186:O187)</f>
        <v>0</v>
      </c>
    </row>
    <row r="189" spans="1:15" hidden="1" x14ac:dyDescent="0.25">
      <c r="A189" s="20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O189" s="17"/>
    </row>
    <row r="190" spans="1:15" hidden="1" x14ac:dyDescent="0.25">
      <c r="A190" s="27" t="s">
        <v>23</v>
      </c>
      <c r="B190" s="16">
        <f>IF(B184&lt;0.001,0,dropdown!$D$20*B184)</f>
        <v>0</v>
      </c>
      <c r="C190" s="16">
        <f>IF(C184&lt;0.001,0,dropdown!$D$20*C184)</f>
        <v>0</v>
      </c>
      <c r="D190" s="16">
        <f>IF(D184&lt;0.001,0,dropdown!$D$20*D184)</f>
        <v>0</v>
      </c>
      <c r="E190" s="16">
        <f>IF(E184&lt;0.001,0,dropdown!$D$20*E184)</f>
        <v>0</v>
      </c>
      <c r="F190" s="16">
        <f>IF(F184&lt;0.001,0,dropdown!$D$20*F184)</f>
        <v>0</v>
      </c>
      <c r="G190" s="16">
        <f>IF(G184&lt;0.001,0,dropdown!$D$20*G184)</f>
        <v>0</v>
      </c>
      <c r="H190" s="16">
        <f>IF(H184&lt;0.001,0,dropdown!$D$20*H184)</f>
        <v>0</v>
      </c>
      <c r="I190" s="16">
        <f>IF(I184&lt;0.001,0,dropdown!$D$20*I184)</f>
        <v>0</v>
      </c>
      <c r="J190" s="16">
        <f>IF(J184&lt;0.001,0,dropdown!$D$20*J184)</f>
        <v>0</v>
      </c>
      <c r="K190" s="16">
        <f>IF(K184&lt;0.001,0,dropdown!$D$20*K184)</f>
        <v>0</v>
      </c>
      <c r="L190" s="16">
        <f>IF(L184&lt;0.001,0,dropdown!$D$20*L184)</f>
        <v>0</v>
      </c>
      <c r="M190" s="16">
        <f>IF(M184&lt;0.001,0,dropdown!$D$20*M184)</f>
        <v>0</v>
      </c>
      <c r="N190" s="16">
        <f>IF(N182&lt;0.001,0,dropdown!$D$19*N182)</f>
        <v>0</v>
      </c>
      <c r="O190" s="16">
        <f>SUM(B190:M190)*(1/(1+dropdown!$D$19))^VALUE(RIGHT(A183,2))</f>
        <v>0</v>
      </c>
    </row>
    <row r="191" spans="1:15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O191" s="13"/>
    </row>
    <row r="192" spans="1:15" x14ac:dyDescent="0.25">
      <c r="A192" s="33" t="str">
        <f>Vertaling!$B$23&amp;" "&amp;ROUNDUP(B192/12,0)</f>
        <v>Jaar 20</v>
      </c>
      <c r="B192" s="34">
        <f t="shared" ref="B192:M192" si="94">B183+12</f>
        <v>229</v>
      </c>
      <c r="C192" s="34">
        <f t="shared" si="94"/>
        <v>230</v>
      </c>
      <c r="D192" s="34">
        <f t="shared" si="94"/>
        <v>231</v>
      </c>
      <c r="E192" s="34">
        <f t="shared" si="94"/>
        <v>232</v>
      </c>
      <c r="F192" s="34">
        <f t="shared" si="94"/>
        <v>233</v>
      </c>
      <c r="G192" s="34">
        <f t="shared" si="94"/>
        <v>234</v>
      </c>
      <c r="H192" s="34">
        <f t="shared" si="94"/>
        <v>235</v>
      </c>
      <c r="I192" s="34">
        <f t="shared" si="94"/>
        <v>236</v>
      </c>
      <c r="J192" s="34">
        <f t="shared" si="94"/>
        <v>237</v>
      </c>
      <c r="K192" s="34">
        <f t="shared" si="94"/>
        <v>238</v>
      </c>
      <c r="L192" s="34">
        <f t="shared" si="94"/>
        <v>239</v>
      </c>
      <c r="M192" s="34">
        <f t="shared" si="94"/>
        <v>240</v>
      </c>
      <c r="N192" s="35"/>
      <c r="O192" s="34" t="s">
        <v>20</v>
      </c>
    </row>
    <row r="193" spans="1:16" x14ac:dyDescent="0.25">
      <c r="A193" s="22" t="str">
        <f>Vertaling!$B$24</f>
        <v>Bedrag lening begin maand</v>
      </c>
      <c r="B193" s="17">
        <f>IF(M184-M187&lt;0.5,0,M184-M187)</f>
        <v>0</v>
      </c>
      <c r="C193" s="17">
        <f t="shared" ref="C193:M193" si="95">IF(B193-B196&lt;0.5,0,B193-B196)</f>
        <v>0</v>
      </c>
      <c r="D193" s="17">
        <f t="shared" si="95"/>
        <v>0</v>
      </c>
      <c r="E193" s="17">
        <f t="shared" si="95"/>
        <v>0</v>
      </c>
      <c r="F193" s="17">
        <f t="shared" si="95"/>
        <v>0</v>
      </c>
      <c r="G193" s="17">
        <f t="shared" si="95"/>
        <v>0</v>
      </c>
      <c r="H193" s="17">
        <f t="shared" si="95"/>
        <v>0</v>
      </c>
      <c r="I193" s="17">
        <f t="shared" si="95"/>
        <v>0</v>
      </c>
      <c r="J193" s="17">
        <f t="shared" si="95"/>
        <v>0</v>
      </c>
      <c r="K193" s="17">
        <f t="shared" si="95"/>
        <v>0</v>
      </c>
      <c r="L193" s="17">
        <f t="shared" si="95"/>
        <v>0</v>
      </c>
      <c r="M193" s="17">
        <f t="shared" si="95"/>
        <v>0</v>
      </c>
      <c r="O193" s="17">
        <f>M193</f>
        <v>0</v>
      </c>
      <c r="P193" s="47"/>
    </row>
    <row r="194" spans="1:16" x14ac:dyDescent="0.25">
      <c r="A194" s="22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O194" s="16"/>
    </row>
    <row r="195" spans="1:16" x14ac:dyDescent="0.25">
      <c r="A195" s="22" t="str">
        <f>Vertaling!$B$25</f>
        <v>Kosten rente per maand</v>
      </c>
      <c r="B195" s="16">
        <f t="shared" ref="B195:M195" si="96">IF(B193&lt;0.001,0,Rentekosten*B193)</f>
        <v>0</v>
      </c>
      <c r="C195" s="16">
        <f t="shared" si="96"/>
        <v>0</v>
      </c>
      <c r="D195" s="16">
        <f t="shared" si="96"/>
        <v>0</v>
      </c>
      <c r="E195" s="16">
        <f t="shared" si="96"/>
        <v>0</v>
      </c>
      <c r="F195" s="16">
        <f t="shared" si="96"/>
        <v>0</v>
      </c>
      <c r="G195" s="16">
        <f t="shared" si="96"/>
        <v>0</v>
      </c>
      <c r="H195" s="16">
        <f t="shared" si="96"/>
        <v>0</v>
      </c>
      <c r="I195" s="16">
        <f t="shared" si="96"/>
        <v>0</v>
      </c>
      <c r="J195" s="16">
        <f t="shared" si="96"/>
        <v>0</v>
      </c>
      <c r="K195" s="16">
        <f t="shared" si="96"/>
        <v>0</v>
      </c>
      <c r="L195" s="16">
        <f t="shared" si="96"/>
        <v>0</v>
      </c>
      <c r="M195" s="16">
        <f t="shared" si="96"/>
        <v>0</v>
      </c>
      <c r="O195" s="16">
        <f>SUM(B195:M195)</f>
        <v>0</v>
      </c>
    </row>
    <row r="196" spans="1:16" ht="15.75" thickBot="1" x14ac:dyDescent="0.3">
      <c r="A196" s="22" t="str">
        <f>Vertaling!$B$26</f>
        <v>Aflossing per maand</v>
      </c>
      <c r="B196" s="36">
        <f t="shared" ref="B196:M196" si="97">IF(B193&lt;0.001,0,IF(B192&lt;$C$11+1,0,IF($G$7="Lineair",Aflossingsbedrag,IF($G$7="Annuïteit",IFERROR($G$11-Rentekosten*(B193),0),0))))</f>
        <v>0</v>
      </c>
      <c r="C196" s="36">
        <f t="shared" si="97"/>
        <v>0</v>
      </c>
      <c r="D196" s="36">
        <f t="shared" si="97"/>
        <v>0</v>
      </c>
      <c r="E196" s="36">
        <f t="shared" si="97"/>
        <v>0</v>
      </c>
      <c r="F196" s="36">
        <f t="shared" si="97"/>
        <v>0</v>
      </c>
      <c r="G196" s="36">
        <f t="shared" si="97"/>
        <v>0</v>
      </c>
      <c r="H196" s="36">
        <f t="shared" si="97"/>
        <v>0</v>
      </c>
      <c r="I196" s="36">
        <f t="shared" si="97"/>
        <v>0</v>
      </c>
      <c r="J196" s="36">
        <f t="shared" si="97"/>
        <v>0</v>
      </c>
      <c r="K196" s="36">
        <f t="shared" si="97"/>
        <v>0</v>
      </c>
      <c r="L196" s="36">
        <f t="shared" si="97"/>
        <v>0</v>
      </c>
      <c r="M196" s="36">
        <f t="shared" si="97"/>
        <v>0</v>
      </c>
      <c r="N196" s="38"/>
      <c r="O196" s="39">
        <f>SUM(B196:M196)</f>
        <v>0</v>
      </c>
    </row>
    <row r="197" spans="1:16" ht="15.75" thickTop="1" x14ac:dyDescent="0.25">
      <c r="A197" s="27" t="str">
        <f>Vertaling!$B$29</f>
        <v>Te betalen per maand</v>
      </c>
      <c r="B197" s="17">
        <f t="shared" ref="B197:M197" si="98">SUM(B195:B196)</f>
        <v>0</v>
      </c>
      <c r="C197" s="17">
        <f t="shared" si="98"/>
        <v>0</v>
      </c>
      <c r="D197" s="17">
        <f t="shared" si="98"/>
        <v>0</v>
      </c>
      <c r="E197" s="17">
        <f t="shared" si="98"/>
        <v>0</v>
      </c>
      <c r="F197" s="17">
        <f t="shared" si="98"/>
        <v>0</v>
      </c>
      <c r="G197" s="17">
        <f t="shared" si="98"/>
        <v>0</v>
      </c>
      <c r="H197" s="17">
        <f t="shared" si="98"/>
        <v>0</v>
      </c>
      <c r="I197" s="17">
        <f t="shared" si="98"/>
        <v>0</v>
      </c>
      <c r="J197" s="17">
        <f t="shared" si="98"/>
        <v>0</v>
      </c>
      <c r="K197" s="17">
        <f t="shared" si="98"/>
        <v>0</v>
      </c>
      <c r="L197" s="17">
        <f t="shared" si="98"/>
        <v>0</v>
      </c>
      <c r="M197" s="17">
        <f t="shared" si="98"/>
        <v>0</v>
      </c>
      <c r="O197" s="17">
        <f>SUM(O195:O196)</f>
        <v>0</v>
      </c>
    </row>
    <row r="198" spans="1:16" hidden="1" x14ac:dyDescent="0.25">
      <c r="A198" s="20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O198" s="17"/>
    </row>
    <row r="199" spans="1:16" hidden="1" x14ac:dyDescent="0.25">
      <c r="A199" s="27" t="s">
        <v>23</v>
      </c>
      <c r="B199" s="16">
        <f>IF(B193&lt;0.001,0,dropdown!$D$20*B193)</f>
        <v>0</v>
      </c>
      <c r="C199" s="16">
        <f>IF(C193&lt;0.001,0,dropdown!$D$20*C193)</f>
        <v>0</v>
      </c>
      <c r="D199" s="16">
        <f>IF(D193&lt;0.001,0,dropdown!$D$20*D193)</f>
        <v>0</v>
      </c>
      <c r="E199" s="16">
        <f>IF(E193&lt;0.001,0,dropdown!$D$20*E193)</f>
        <v>0</v>
      </c>
      <c r="F199" s="16">
        <f>IF(F193&lt;0.001,0,dropdown!$D$20*F193)</f>
        <v>0</v>
      </c>
      <c r="G199" s="16">
        <f>IF(G193&lt;0.001,0,dropdown!$D$20*G193)</f>
        <v>0</v>
      </c>
      <c r="H199" s="16">
        <f>IF(H193&lt;0.001,0,dropdown!$D$20*H193)</f>
        <v>0</v>
      </c>
      <c r="I199" s="16">
        <f>IF(I193&lt;0.001,0,dropdown!$D$20*I193)</f>
        <v>0</v>
      </c>
      <c r="J199" s="16">
        <f>IF(J193&lt;0.001,0,dropdown!$D$20*J193)</f>
        <v>0</v>
      </c>
      <c r="K199" s="16">
        <f>IF(K193&lt;0.001,0,dropdown!$D$20*K193)</f>
        <v>0</v>
      </c>
      <c r="L199" s="16">
        <f>IF(L193&lt;0.001,0,dropdown!$D$20*L193)</f>
        <v>0</v>
      </c>
      <c r="M199" s="16">
        <f>IF(M193&lt;0.001,0,dropdown!$D$20*M193)</f>
        <v>0</v>
      </c>
      <c r="N199" s="16">
        <f>IF(N191&lt;0.001,0,dropdown!$D$19*N191)</f>
        <v>0</v>
      </c>
      <c r="O199" s="16">
        <f>SUM(B199:M199)*(1/(1+dropdown!$D$19))^VALUE(RIGHT(A192,2))</f>
        <v>0</v>
      </c>
    </row>
    <row r="200" spans="1:16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O200" s="13"/>
    </row>
    <row r="201" spans="1:16" x14ac:dyDescent="0.25">
      <c r="A201" s="18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O201" s="19"/>
    </row>
  </sheetData>
  <sheetProtection algorithmName="SHA-512" hashValue="Th1JZdEVt84RevOwD979aYpBnLFNkLbcdDKnfolCBgVrHeaZnJOP0LQsw2kqSSclrAtPDjTSUS+QlYueDyZlmw==" saltValue="ezFQePH8EMEJ2VR6FcarUQ==" spinCount="100000" sheet="1" objects="1" scenarios="1" formatColumns="0" selectLockedCells="1"/>
  <mergeCells count="2">
    <mergeCell ref="C4:D4"/>
    <mergeCell ref="G4:H4"/>
  </mergeCells>
  <conditionalFormatting sqref="C7">
    <cfRule type="expression" dxfId="11" priority="6">
      <formula>$C$4="Curacao"</formula>
    </cfRule>
    <cfRule type="expression" dxfId="10" priority="11">
      <formula>$C$4="St.Maarten"</formula>
    </cfRule>
    <cfRule type="expression" dxfId="9" priority="12">
      <formula>$C$4="Aruba"</formula>
    </cfRule>
    <cfRule type="expression" dxfId="8" priority="13">
      <formula>$C$4="Bonaire"</formula>
    </cfRule>
  </conditionalFormatting>
  <conditionalFormatting sqref="G9 K9 G11 K11 G13 B20:O20 B22:O23 B24:B25 O24:O25 B26:O26 B31:O35 B40:O44 B49:O53 B58:O62 B67:O71 B76:O80 B85:O89 B94:O98 B103:O107 B112:O116 B121:O125 B130:O134 B139:O143 B148:O152 B157:O161 B166:O170 B175:O179 B184:O188 B193:O197">
    <cfRule type="expression" dxfId="7" priority="7">
      <formula>$C$4="Curacao"</formula>
    </cfRule>
    <cfRule type="expression" dxfId="6" priority="9">
      <formula>$C$4="St.Maarten"</formula>
    </cfRule>
    <cfRule type="expression" dxfId="5" priority="16">
      <formula>$C$4="Aruba"</formula>
    </cfRule>
    <cfRule type="expression" dxfId="4" priority="17">
      <formula>$C$4="Bonaire"</formula>
    </cfRule>
  </conditionalFormatting>
  <conditionalFormatting sqref="J7:L11">
    <cfRule type="expression" dxfId="3" priority="5">
      <formula>$C$4="Curacao"</formula>
    </cfRule>
    <cfRule type="expression" dxfId="2" priority="10">
      <formula>$C$4="St.Maarten"</formula>
    </cfRule>
    <cfRule type="expression" dxfId="1" priority="14">
      <formula>$C$4="Bonaire"</formula>
    </cfRule>
    <cfRule type="expression" dxfId="0" priority="15">
      <formula>$C$4="Aruba"</formula>
    </cfRule>
  </conditionalFormatting>
  <dataValidations count="5">
    <dataValidation type="list" allowBlank="1" showInputMessage="1" showErrorMessage="1" sqref="K7" xr:uid="{00000000-0002-0000-0000-000000000000}">
      <formula1>IF(AND($C$4="Nederland",$C$7&gt;=50000),Ja_Nee,"")</formula1>
    </dataValidation>
    <dataValidation type="list" allowBlank="1" showInputMessage="1" showErrorMessage="1" sqref="C4:D4" xr:uid="{00000000-0002-0000-0000-000001000000}">
      <formula1>Land</formula1>
    </dataValidation>
    <dataValidation type="list" allowBlank="1" showInputMessage="1" showErrorMessage="1" sqref="G4:H4" xr:uid="{00000000-0002-0000-0000-000002000000}">
      <formula1>INDIRECT($C$4)</formula1>
    </dataValidation>
    <dataValidation type="list" allowBlank="1" showInputMessage="1" showErrorMessage="1" sqref="C11" xr:uid="{00000000-0002-0000-0000-000003000000}">
      <formula1>Aflossing</formula1>
    </dataValidation>
    <dataValidation type="list" allowBlank="1" showInputMessage="1" showErrorMessage="1" sqref="G7" xr:uid="{00000000-0002-0000-0000-000004000000}">
      <formula1>Aflosvariant</formula1>
    </dataValidation>
  </dataValidations>
  <pageMargins left="0.51180555555555551" right="0.51180555555555551" top="0.51180555555555551" bottom="0.74861111111111112" header="0.51180555555555551" footer="0.31527777777777777"/>
  <pageSetup paperSize="9" scale="69" firstPageNumber="0" fitToHeight="0" orientation="landscape" horizontalDpi="300" verticalDpi="300" r:id="rId1"/>
  <headerFooter alignWithMargins="0">
    <oddFooter>&amp;LDeze bedragen zijn indicatief; aan deze opstelling kunnen geen rechten worden ontleend&amp;C&amp;F</oddFooter>
  </headerFooter>
  <rowBreaks count="2" manualBreakCount="2">
    <brk id="56" max="14" man="1"/>
    <brk id="92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Wijzig looptijd" error="De looptijd voor Microkrediet is max. 10 jaar._x000a_De looptijd voor staatgarantie is max. 12 jaar." xr:uid="{00000000-0002-0000-0000-000005000000}">
          <x14:formula1>
            <xm:f>IF(LEFT($C$16,5)="Micro",Looptijd_Micro,IF($C$16=dropdown!$I$8,Looptijd_BMKB,Looptijd))</xm:f>
          </x14:formula1>
          <xm:sqref>C9</xm:sqref>
        </x14:dataValidation>
        <x14:dataValidation type="decimal" allowBlank="1" showErrorMessage="1" errorTitle="Fout:" error="Het gewenste leningbedrag is helaas niet mogelijk." promptTitle="Voer in:" prompt="Vul een bedrag van max. 250.000 in." xr:uid="{00000000-0002-0000-0000-000006000000}">
          <x14:formula1>
            <xm:f>dropdown!O8</xm:f>
          </x14:formula1>
          <x14:formula2>
            <xm:f>dropdown!O9</xm:f>
          </x14:formula2>
          <xm:sqref>C7</xm:sqref>
        </x14:dataValidation>
        <x14:dataValidation type="list" allowBlank="1" showInputMessage="1" showErrorMessage="1" xr:uid="{00000000-0002-0000-0000-000007000000}">
          <x14:formula1>
            <xm:f>dropdown!$O$11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V49"/>
  <sheetViews>
    <sheetView showGridLines="0" workbookViewId="0">
      <selection activeCell="C35" sqref="C35"/>
    </sheetView>
  </sheetViews>
  <sheetFormatPr defaultRowHeight="15" x14ac:dyDescent="0.25"/>
  <cols>
    <col min="3" max="3" width="26.28515625" customWidth="1"/>
    <col min="4" max="4" width="12.140625" bestFit="1" customWidth="1"/>
    <col min="6" max="6" width="10.5703125" bestFit="1" customWidth="1"/>
    <col min="7" max="7" width="13.5703125" bestFit="1" customWidth="1"/>
    <col min="9" max="9" width="30.7109375" bestFit="1" customWidth="1"/>
    <col min="15" max="15" width="10.42578125" bestFit="1" customWidth="1"/>
    <col min="16" max="16" width="11.28515625" bestFit="1" customWidth="1"/>
    <col min="17" max="18" width="13.28515625" bestFit="1" customWidth="1"/>
  </cols>
  <sheetData>
    <row r="1" spans="1:22" x14ac:dyDescent="0.25">
      <c r="A1" s="1" t="s">
        <v>3</v>
      </c>
      <c r="C1" s="1" t="s">
        <v>1</v>
      </c>
      <c r="D1" s="44">
        <f>'Rekentool kredieten'!B20</f>
        <v>0</v>
      </c>
      <c r="F1" s="5" t="s">
        <v>6</v>
      </c>
      <c r="G1" s="5" t="s">
        <v>7</v>
      </c>
      <c r="I1" s="5" t="s">
        <v>13</v>
      </c>
      <c r="K1" s="5" t="s">
        <v>30</v>
      </c>
      <c r="M1" s="5" t="s">
        <v>34</v>
      </c>
      <c r="O1" s="5" t="s">
        <v>114</v>
      </c>
      <c r="P1" s="5" t="s">
        <v>111</v>
      </c>
      <c r="Q1" s="5" t="s">
        <v>113</v>
      </c>
      <c r="R1" s="5" t="s">
        <v>112</v>
      </c>
      <c r="S1" s="5" t="s">
        <v>215</v>
      </c>
      <c r="T1" s="5" t="s">
        <v>212</v>
      </c>
      <c r="V1" s="5"/>
    </row>
    <row r="2" spans="1:22" x14ac:dyDescent="0.25">
      <c r="A2" s="2">
        <v>1</v>
      </c>
      <c r="C2" s="1" t="s">
        <v>2</v>
      </c>
      <c r="D2" s="44">
        <f>O10</f>
        <v>0</v>
      </c>
      <c r="F2" s="67">
        <v>1</v>
      </c>
      <c r="G2" s="68">
        <v>3.9E-2</v>
      </c>
      <c r="I2" s="6" t="s">
        <v>14</v>
      </c>
      <c r="K2" s="6" t="s">
        <v>29</v>
      </c>
      <c r="M2" s="6" t="s">
        <v>32</v>
      </c>
      <c r="O2" s="70" t="s">
        <v>111</v>
      </c>
      <c r="P2" s="70" t="s">
        <v>64</v>
      </c>
      <c r="Q2" s="70" t="s">
        <v>64</v>
      </c>
      <c r="R2" s="70" t="s">
        <v>64</v>
      </c>
      <c r="S2" s="70" t="s">
        <v>64</v>
      </c>
      <c r="T2" s="70" t="s">
        <v>64</v>
      </c>
      <c r="V2" s="70"/>
    </row>
    <row r="3" spans="1:22" x14ac:dyDescent="0.25">
      <c r="A3" s="2">
        <v>2</v>
      </c>
      <c r="C3" s="1" t="s">
        <v>16</v>
      </c>
      <c r="D3" s="8">
        <f>'Rekentool kredieten'!$C$13</f>
        <v>9.9500000000000005E-2</v>
      </c>
      <c r="F3" s="67">
        <v>2</v>
      </c>
      <c r="G3" s="68">
        <v>3.9E-2</v>
      </c>
      <c r="I3" s="6" t="s">
        <v>15</v>
      </c>
      <c r="K3" s="6" t="s">
        <v>31</v>
      </c>
      <c r="M3" s="6" t="s">
        <v>33</v>
      </c>
      <c r="O3" s="70" t="s">
        <v>113</v>
      </c>
      <c r="P3" s="70" t="s">
        <v>65</v>
      </c>
      <c r="Q3" s="70" t="s">
        <v>65</v>
      </c>
      <c r="R3" s="70" t="s">
        <v>65</v>
      </c>
      <c r="S3" s="70" t="s">
        <v>65</v>
      </c>
      <c r="T3" s="70" t="s">
        <v>65</v>
      </c>
      <c r="V3" s="70"/>
    </row>
    <row r="4" spans="1:22" x14ac:dyDescent="0.25">
      <c r="A4" s="2">
        <v>3</v>
      </c>
      <c r="C4" s="1" t="s">
        <v>11</v>
      </c>
      <c r="D4" s="8">
        <f>'Rekentool kredieten'!C13/12</f>
        <v>8.2916666666666677E-3</v>
      </c>
      <c r="F4" s="67">
        <v>3</v>
      </c>
      <c r="G4" s="68">
        <v>3.9E-2</v>
      </c>
      <c r="I4" s="6" t="s">
        <v>122</v>
      </c>
      <c r="O4" s="70" t="s">
        <v>112</v>
      </c>
      <c r="P4" s="70"/>
      <c r="Q4" t="s">
        <v>116</v>
      </c>
      <c r="R4" s="70" t="s">
        <v>115</v>
      </c>
      <c r="S4" s="70" t="s">
        <v>115</v>
      </c>
    </row>
    <row r="5" spans="1:22" x14ac:dyDescent="0.25">
      <c r="A5" s="2">
        <v>4</v>
      </c>
      <c r="C5" s="1" t="s">
        <v>8</v>
      </c>
      <c r="D5" s="7">
        <f>('Rekentool kredieten'!C9*12-'Rekentool kredieten'!C11)</f>
        <v>57</v>
      </c>
      <c r="F5" s="67">
        <v>4</v>
      </c>
      <c r="G5" s="68">
        <v>3.9E-2</v>
      </c>
      <c r="I5" s="6" t="s">
        <v>121</v>
      </c>
      <c r="O5" t="s">
        <v>215</v>
      </c>
      <c r="Q5" s="70" t="s">
        <v>117</v>
      </c>
      <c r="R5" s="70" t="s">
        <v>216</v>
      </c>
      <c r="S5" s="70" t="s">
        <v>216</v>
      </c>
    </row>
    <row r="6" spans="1:22" x14ac:dyDescent="0.25">
      <c r="A6" s="2">
        <v>5</v>
      </c>
      <c r="C6" s="1" t="s">
        <v>9</v>
      </c>
      <c r="D6" s="44">
        <f>D1/D5</f>
        <v>0</v>
      </c>
      <c r="F6" s="67">
        <v>5</v>
      </c>
      <c r="G6" s="68">
        <v>3.9E-2</v>
      </c>
      <c r="I6" s="6" t="s">
        <v>217</v>
      </c>
      <c r="K6" t="str">
        <f>'Rekentool kredieten'!$G$7</f>
        <v>Annuïteit</v>
      </c>
      <c r="O6" s="70" t="s">
        <v>212</v>
      </c>
    </row>
    <row r="7" spans="1:22" x14ac:dyDescent="0.25">
      <c r="A7" s="2">
        <v>6</v>
      </c>
      <c r="C7" s="1" t="s">
        <v>10</v>
      </c>
      <c r="D7" s="8">
        <f>IF('Rekentool kredieten'!$C$16=$I$8,IFERROR(VLOOKUP(ROUNDUP(D5/3,0),dropdown!$F$2:$G$49,2,FALSE),0),0)</f>
        <v>0</v>
      </c>
      <c r="F7" s="67">
        <v>6</v>
      </c>
      <c r="G7" s="68">
        <v>3.9E-2</v>
      </c>
      <c r="I7" s="6" t="s">
        <v>213</v>
      </c>
    </row>
    <row r="8" spans="1:22" x14ac:dyDescent="0.25">
      <c r="A8" s="2">
        <v>7</v>
      </c>
      <c r="C8" s="1" t="s">
        <v>12</v>
      </c>
      <c r="D8" s="44">
        <f>D1*D23*D7</f>
        <v>0</v>
      </c>
      <c r="E8" s="45"/>
      <c r="F8" s="67">
        <v>7</v>
      </c>
      <c r="G8" s="68">
        <v>3.9E-2</v>
      </c>
      <c r="I8" s="6" t="s">
        <v>18</v>
      </c>
      <c r="N8" t="s">
        <v>118</v>
      </c>
      <c r="O8">
        <v>1000</v>
      </c>
      <c r="P8">
        <v>1000</v>
      </c>
      <c r="Q8">
        <v>1000</v>
      </c>
      <c r="R8">
        <v>1000</v>
      </c>
      <c r="S8">
        <v>1000</v>
      </c>
      <c r="T8">
        <v>1000</v>
      </c>
    </row>
    <row r="9" spans="1:22" x14ac:dyDescent="0.25">
      <c r="A9" s="2">
        <v>8</v>
      </c>
      <c r="C9" s="1" t="s">
        <v>36</v>
      </c>
      <c r="D9" s="44">
        <f>IF(Aflossingsmethode=K2,E10,E9)</f>
        <v>0</v>
      </c>
      <c r="E9" s="44">
        <f>Bedrag_annuïteit*D5-D1+D1*Rentekosten*'Rekentool kredieten'!C11</f>
        <v>0</v>
      </c>
      <c r="F9" s="67">
        <v>8</v>
      </c>
      <c r="G9" s="68">
        <v>3.9E-2</v>
      </c>
      <c r="N9" t="s">
        <v>119</v>
      </c>
      <c r="O9">
        <f>IF('Rekentool kredieten'!$C$4=O2,P9,IF('Rekentool kredieten'!$C$4=O3,Q9,IF('Rekentool kredieten'!$C$4=O4,R9,IF('Rekentool kredieten'!$C$4=O5,S9,IF('Rekentool kredieten'!$C$4=O6,T9,0)))))</f>
        <v>250000</v>
      </c>
      <c r="P9">
        <v>250000</v>
      </c>
      <c r="Q9">
        <v>100000</v>
      </c>
      <c r="R9">
        <v>50000</v>
      </c>
      <c r="S9">
        <v>100000</v>
      </c>
      <c r="T9">
        <v>50000</v>
      </c>
    </row>
    <row r="10" spans="1:22" x14ac:dyDescent="0.25">
      <c r="A10" s="2">
        <v>9</v>
      </c>
      <c r="C10" s="1" t="s">
        <v>19</v>
      </c>
      <c r="D10" s="44">
        <f>SUMIFS('Rekentool kredieten'!$O$19:$O$95,'Rekentool kredieten'!$A$19:$A$95,dropdown!C10)/'Rekentool kredieten'!$C$9</f>
        <v>0</v>
      </c>
      <c r="E10" s="44">
        <f>(Rentekosten*D1+Rentekosten*Aflossingsbedrag)*D5/2+D1*Rentekosten*'Rekentool kredieten'!C11</f>
        <v>0</v>
      </c>
      <c r="F10" s="67">
        <v>9</v>
      </c>
      <c r="G10" s="68">
        <v>4.2500000000000003E-2</v>
      </c>
      <c r="I10" t="str">
        <f>IF('Rekentool kredieten'!$C$4=O3,I4,IF('Rekentool kredieten'!$C$4=O4,I5,IF('Rekentool kredieten'!$C$4=O5,I6,IF('Rekentool kredieten'!$C$4=O6,I7,IF('Rekentool kredieten'!$C$7&lt;=50000,I2,IF(AND('Rekentool kredieten'!$C$7&gt;50000,'Rekentool kredieten'!$K$7="Ja"),I8,I3))))))</f>
        <v>Microkrediet</v>
      </c>
      <c r="K10" t="s">
        <v>31</v>
      </c>
      <c r="N10" t="s">
        <v>120</v>
      </c>
      <c r="O10">
        <f>IF('Rekentool kredieten'!$C$4=O2,P10,IF('Rekentool kredieten'!$C$4=O3,Q10,IF('Rekentool kredieten'!$C$4=O4,R10,IF('Rekentool kredieten'!$C$4=O5,S10,IF('Rekentool kredieten'!$C$4=O6,T10,0)))))</f>
        <v>0</v>
      </c>
      <c r="P10">
        <f>IF($D$1&lt;100,0,IF($D$1&lt;=5000,375,IF($D$1&lt;=15000,500,IF($D$1&lt;=35000,650,IF($D$1&lt;=50000,850,D1*0.015)))))</f>
        <v>0</v>
      </c>
      <c r="Q10">
        <f>IF($D$1&lt;100,0,IF($D$1&lt;=10000,500,IF($D$1&lt;=25000,700,IF($D$1&lt;=65000,1000,D1*0.0165))))</f>
        <v>0</v>
      </c>
      <c r="R10">
        <f>IF($D$1&lt;100,0,IF($D$1&lt;=5000,275,IF($D$1&lt;=15000,400,IF($D$1&lt;=35000,550,D1*0.0165))))</f>
        <v>0</v>
      </c>
      <c r="S10">
        <f>IF($D$1&lt;100,0,IF(D1&lt;=10000,500,IF(D1&lt;=25000,700,IF(D1&lt;=65000,1000,IF(D1*0.0165&gt;=1350,1350,D1*0.0165)))))</f>
        <v>0</v>
      </c>
      <c r="T10">
        <f>IF($D$1&lt;100,0,IF(D1&lt;=5000,275,IF(D1&lt;=15000,400,IF(D1&lt;=35000,550,IF(D1*0.0165&gt;=750,750,D1*0.0165)))))</f>
        <v>0</v>
      </c>
    </row>
    <row r="11" spans="1:22" x14ac:dyDescent="0.25">
      <c r="A11" s="2">
        <v>10</v>
      </c>
      <c r="C11" s="1" t="s">
        <v>31</v>
      </c>
      <c r="D11" s="44">
        <f>(Rentekosten*$D$1/(1-(1+Rentekosten)^-D5))</f>
        <v>0</v>
      </c>
      <c r="E11" s="45"/>
      <c r="F11" s="67">
        <v>10</v>
      </c>
      <c r="G11" s="68">
        <v>4.2500000000000003E-2</v>
      </c>
      <c r="N11" t="s">
        <v>5</v>
      </c>
      <c r="O11" s="63">
        <v>9.9500000000000005E-2</v>
      </c>
      <c r="P11" s="63">
        <v>9.9500000000000005E-2</v>
      </c>
      <c r="Q11" s="63">
        <v>9.9500000000000005E-2</v>
      </c>
      <c r="R11" s="63">
        <v>9.9500000000000005E-2</v>
      </c>
      <c r="S11" s="63">
        <v>9.9500000000000005E-2</v>
      </c>
      <c r="T11" s="63">
        <v>9.9500000000000005E-2</v>
      </c>
      <c r="V11" s="63"/>
    </row>
    <row r="12" spans="1:22" x14ac:dyDescent="0.25">
      <c r="A12" s="2">
        <v>11</v>
      </c>
      <c r="C12" s="1" t="s">
        <v>51</v>
      </c>
      <c r="D12" s="7">
        <f>'Rekentool kredieten'!C9*12</f>
        <v>60</v>
      </c>
      <c r="E12" s="45"/>
      <c r="F12" s="67">
        <v>11</v>
      </c>
      <c r="G12" s="68">
        <v>4.2500000000000003E-2</v>
      </c>
      <c r="N12" t="s">
        <v>3</v>
      </c>
      <c r="T12">
        <v>6</v>
      </c>
    </row>
    <row r="13" spans="1:22" x14ac:dyDescent="0.25">
      <c r="A13" s="2">
        <v>12</v>
      </c>
      <c r="C13" s="1" t="s">
        <v>52</v>
      </c>
      <c r="D13" s="7">
        <f>'Rekentool kredieten'!C11</f>
        <v>3</v>
      </c>
      <c r="F13" s="67">
        <v>12</v>
      </c>
      <c r="G13" s="68">
        <v>4.2500000000000003E-2</v>
      </c>
      <c r="N13" t="s">
        <v>214</v>
      </c>
      <c r="T13">
        <v>12</v>
      </c>
    </row>
    <row r="14" spans="1:22" x14ac:dyDescent="0.25">
      <c r="A14" s="2">
        <v>13</v>
      </c>
      <c r="C14" t="str">
        <f>'Rekentool kredieten'!B4</f>
        <v>Selecteer uw land</v>
      </c>
      <c r="F14" s="67">
        <v>13</v>
      </c>
      <c r="G14" s="68">
        <v>4.2500000000000003E-2</v>
      </c>
      <c r="I14" s="5" t="s">
        <v>218</v>
      </c>
    </row>
    <row r="15" spans="1:22" x14ac:dyDescent="0.25">
      <c r="A15" s="2">
        <v>14</v>
      </c>
      <c r="C15" t="str">
        <f>IF($C$14="Microkrediet","Vul een bedrag van maximaal 50.000 euro in:",IF(LEFT($C$14,3)="MKB","Vul een bedrag groter dan 50.000 euro in:","Vul een leningbedrag in:"))</f>
        <v>Vul een leningbedrag in:</v>
      </c>
      <c r="F15" s="67">
        <v>14</v>
      </c>
      <c r="G15" s="68">
        <v>4.2500000000000003E-2</v>
      </c>
      <c r="I15" s="73">
        <v>6.7500000000000004E-2</v>
      </c>
    </row>
    <row r="16" spans="1:22" x14ac:dyDescent="0.25">
      <c r="A16" s="2">
        <v>15</v>
      </c>
      <c r="C16" t="str">
        <f>IF(AND($C$14="Microkrediet",OR('Rekentool kredieten'!C7&gt;50000,'Rekentool kredieten'!C7=0)),"Of kies voor MKB-krediet",IF(AND(LEFT($C$14,3)="MKB",'Rekentool kredieten'!C7&lt;=50000),"Of kies voor Microkrediet",IF('Rekentool kredieten'!C7&gt;250000,"Bedrag is te hoog","")))</f>
        <v/>
      </c>
      <c r="F16" s="67">
        <v>15</v>
      </c>
      <c r="G16" s="68">
        <v>4.2500000000000003E-2</v>
      </c>
      <c r="I16" s="73">
        <f>I15+0.01</f>
        <v>7.7499999999999999E-2</v>
      </c>
    </row>
    <row r="17" spans="1:9" x14ac:dyDescent="0.25">
      <c r="A17" s="2">
        <v>16</v>
      </c>
      <c r="F17" s="67">
        <v>16</v>
      </c>
      <c r="G17" s="68">
        <v>4.2500000000000003E-2</v>
      </c>
      <c r="I17" s="73">
        <f>I16+0.01</f>
        <v>8.7499999999999994E-2</v>
      </c>
    </row>
    <row r="18" spans="1:9" x14ac:dyDescent="0.25">
      <c r="A18" s="2">
        <v>17</v>
      </c>
      <c r="C18" s="1" t="s">
        <v>23</v>
      </c>
      <c r="F18" s="67">
        <v>17</v>
      </c>
      <c r="G18" s="68">
        <v>4.2500000000000003E-2</v>
      </c>
      <c r="I18" s="5" t="s">
        <v>219</v>
      </c>
    </row>
    <row r="19" spans="1:9" x14ac:dyDescent="0.25">
      <c r="A19" s="2">
        <v>18</v>
      </c>
      <c r="C19" t="s">
        <v>28</v>
      </c>
      <c r="D19" s="8">
        <v>3.3300000000000003E-2</v>
      </c>
      <c r="F19" s="67">
        <v>18</v>
      </c>
      <c r="G19" s="68">
        <v>4.2500000000000003E-2</v>
      </c>
      <c r="I19" s="73">
        <f>IF('Rekentool kredieten'!$C$4=O3,Q11,IF('Rekentool kredieten'!$C$4=O4,R11,IF('Rekentool kredieten'!$C$4=O5,S11,IF('Rekentool kredieten'!$C$4=O6,T11,0))))</f>
        <v>0</v>
      </c>
    </row>
    <row r="20" spans="1:9" x14ac:dyDescent="0.25">
      <c r="A20" s="2">
        <v>19</v>
      </c>
      <c r="C20" t="s">
        <v>24</v>
      </c>
      <c r="D20" s="8">
        <f>D19/12</f>
        <v>2.7750000000000001E-3</v>
      </c>
      <c r="F20" s="67">
        <v>19</v>
      </c>
      <c r="G20" s="68">
        <v>4.2500000000000003E-2</v>
      </c>
    </row>
    <row r="21" spans="1:9" x14ac:dyDescent="0.25">
      <c r="A21" s="2">
        <v>20</v>
      </c>
      <c r="C21" t="s">
        <v>25</v>
      </c>
      <c r="D21" s="44">
        <f>SUMIFS('Rekentool kredieten'!$O:$O,'Rekentool kredieten'!$A:$A,C18)</f>
        <v>0</v>
      </c>
      <c r="F21" s="67">
        <v>20</v>
      </c>
      <c r="G21" s="68">
        <v>4.2500000000000003E-2</v>
      </c>
    </row>
    <row r="22" spans="1:9" x14ac:dyDescent="0.25">
      <c r="A22" s="3"/>
      <c r="F22" s="67">
        <v>21</v>
      </c>
      <c r="G22" s="68">
        <v>4.2500000000000003E-2</v>
      </c>
    </row>
    <row r="23" spans="1:9" x14ac:dyDescent="0.25">
      <c r="A23" s="1" t="s">
        <v>4</v>
      </c>
      <c r="C23" t="s">
        <v>26</v>
      </c>
      <c r="D23" s="8">
        <v>0.75</v>
      </c>
      <c r="F23" s="67">
        <v>22</v>
      </c>
      <c r="G23" s="68">
        <v>4.2500000000000003E-2</v>
      </c>
    </row>
    <row r="24" spans="1:9" x14ac:dyDescent="0.25">
      <c r="A24" s="2">
        <v>0</v>
      </c>
      <c r="C24" t="s">
        <v>27</v>
      </c>
      <c r="D24" s="8">
        <v>0.13</v>
      </c>
      <c r="F24" s="67">
        <v>23</v>
      </c>
      <c r="G24" s="68">
        <v>4.2500000000000003E-2</v>
      </c>
    </row>
    <row r="25" spans="1:9" x14ac:dyDescent="0.25">
      <c r="A25" s="2">
        <v>1</v>
      </c>
      <c r="C25" t="s">
        <v>25</v>
      </c>
      <c r="D25" s="44">
        <f>IF('Rekentool kredieten'!C16=dropdown!I8,D24*D23*D1,0)</f>
        <v>0</v>
      </c>
      <c r="F25" s="67">
        <v>24</v>
      </c>
      <c r="G25" s="68">
        <v>4.2500000000000003E-2</v>
      </c>
    </row>
    <row r="26" spans="1:9" x14ac:dyDescent="0.25">
      <c r="A26" s="2">
        <v>2</v>
      </c>
      <c r="F26" s="67">
        <v>25</v>
      </c>
      <c r="G26" s="68">
        <v>5.8500000000000003E-2</v>
      </c>
    </row>
    <row r="27" spans="1:9" x14ac:dyDescent="0.25">
      <c r="A27" s="2">
        <v>3</v>
      </c>
      <c r="C27" s="1" t="s">
        <v>37</v>
      </c>
      <c r="D27" s="44">
        <f>'Rekentool kredieten'!O22</f>
        <v>0</v>
      </c>
      <c r="F27" s="67">
        <v>26</v>
      </c>
      <c r="G27" s="68">
        <v>5.8500000000000003E-2</v>
      </c>
    </row>
    <row r="28" spans="1:9" x14ac:dyDescent="0.25">
      <c r="A28" s="2">
        <v>4</v>
      </c>
      <c r="C28" s="1" t="s">
        <v>39</v>
      </c>
      <c r="D28" s="44">
        <f>Kosten</f>
        <v>0</v>
      </c>
      <c r="F28" s="67">
        <v>27</v>
      </c>
      <c r="G28" s="68">
        <v>5.8500000000000003E-2</v>
      </c>
    </row>
    <row r="29" spans="1:9" x14ac:dyDescent="0.25">
      <c r="A29" s="2">
        <v>5</v>
      </c>
      <c r="C29" t="s">
        <v>38</v>
      </c>
      <c r="D29" s="46">
        <f>IFERROR((D28+D27)/(D1-Kosten),0)</f>
        <v>0</v>
      </c>
      <c r="F29" s="67">
        <v>28</v>
      </c>
      <c r="G29" s="68">
        <v>5.8500000000000003E-2</v>
      </c>
    </row>
    <row r="30" spans="1:9" x14ac:dyDescent="0.25">
      <c r="A30" s="2">
        <v>6</v>
      </c>
      <c r="F30" s="67">
        <v>29</v>
      </c>
      <c r="G30" s="68">
        <v>5.8500000000000003E-2</v>
      </c>
    </row>
    <row r="31" spans="1:9" x14ac:dyDescent="0.25">
      <c r="A31" s="2">
        <v>7</v>
      </c>
      <c r="C31" t="s">
        <v>58</v>
      </c>
      <c r="D31" s="46">
        <f ca="1">IFERROR(XIRR(Cashflow_zonder_kosten,Datums,0.001),0)</f>
        <v>0</v>
      </c>
      <c r="E31" s="63"/>
      <c r="F31" s="67">
        <v>30</v>
      </c>
      <c r="G31" s="68">
        <v>5.8500000000000003E-2</v>
      </c>
    </row>
    <row r="32" spans="1:9" x14ac:dyDescent="0.25">
      <c r="A32" s="2">
        <v>8</v>
      </c>
      <c r="C32" t="s">
        <v>59</v>
      </c>
      <c r="D32" s="46">
        <f ca="1">MIN(((1+D31)^(1/365)-1)*365,1)</f>
        <v>0</v>
      </c>
      <c r="F32" s="67">
        <v>31</v>
      </c>
      <c r="G32" s="68">
        <v>5.8500000000000003E-2</v>
      </c>
    </row>
    <row r="33" spans="1:7" x14ac:dyDescent="0.25">
      <c r="A33" s="2">
        <v>9</v>
      </c>
      <c r="C33" t="s">
        <v>60</v>
      </c>
      <c r="D33" s="46">
        <f ca="1">IFERROR(XIRR(Cashflow_met_kosten,Datums,0.001),0)</f>
        <v>0</v>
      </c>
      <c r="F33" s="67">
        <v>32</v>
      </c>
      <c r="G33" s="68">
        <v>5.8500000000000003E-2</v>
      </c>
    </row>
    <row r="34" spans="1:7" x14ac:dyDescent="0.25">
      <c r="A34" s="2">
        <v>10</v>
      </c>
      <c r="C34" t="s">
        <v>61</v>
      </c>
      <c r="D34" s="46">
        <f ca="1">MIN(((1+D33)^(1/365)-1)*365,1)</f>
        <v>0</v>
      </c>
      <c r="F34" s="67">
        <v>33</v>
      </c>
      <c r="G34" s="68">
        <v>5.8500000000000003E-2</v>
      </c>
    </row>
    <row r="35" spans="1:7" x14ac:dyDescent="0.25">
      <c r="F35" s="67">
        <v>34</v>
      </c>
      <c r="G35" s="68">
        <v>5.8500000000000003E-2</v>
      </c>
    </row>
    <row r="36" spans="1:7" x14ac:dyDescent="0.25">
      <c r="A36" s="1" t="s">
        <v>5</v>
      </c>
      <c r="F36" s="67">
        <v>35</v>
      </c>
      <c r="G36" s="68">
        <v>5.8500000000000003E-2</v>
      </c>
    </row>
    <row r="37" spans="1:7" x14ac:dyDescent="0.25">
      <c r="A37" s="4">
        <v>9.7500000000000003E-2</v>
      </c>
      <c r="F37" s="67">
        <v>36</v>
      </c>
      <c r="G37" s="68">
        <v>5.8500000000000003E-2</v>
      </c>
    </row>
    <row r="38" spans="1:7" x14ac:dyDescent="0.25">
      <c r="A38" s="4">
        <v>0.1075</v>
      </c>
      <c r="F38" s="67">
        <v>37</v>
      </c>
      <c r="G38" s="68">
        <v>5.8500000000000003E-2</v>
      </c>
    </row>
    <row r="39" spans="1:7" x14ac:dyDescent="0.25">
      <c r="F39" s="67">
        <v>38</v>
      </c>
      <c r="G39" s="68">
        <v>5.8500000000000003E-2</v>
      </c>
    </row>
    <row r="40" spans="1:7" x14ac:dyDescent="0.25">
      <c r="F40" s="67">
        <v>39</v>
      </c>
      <c r="G40" s="68">
        <v>5.8500000000000003E-2</v>
      </c>
    </row>
    <row r="41" spans="1:7" x14ac:dyDescent="0.25">
      <c r="F41" s="67">
        <v>40</v>
      </c>
      <c r="G41" s="68">
        <v>5.8500000000000003E-2</v>
      </c>
    </row>
    <row r="42" spans="1:7" x14ac:dyDescent="0.25">
      <c r="F42" s="67">
        <v>41</v>
      </c>
      <c r="G42" s="68">
        <v>5.8500000000000003E-2</v>
      </c>
    </row>
    <row r="43" spans="1:7" x14ac:dyDescent="0.25">
      <c r="F43" s="67">
        <v>42</v>
      </c>
      <c r="G43" s="68">
        <v>5.8500000000000003E-2</v>
      </c>
    </row>
    <row r="44" spans="1:7" x14ac:dyDescent="0.25">
      <c r="F44" s="67">
        <v>43</v>
      </c>
      <c r="G44" s="68">
        <v>5.8500000000000003E-2</v>
      </c>
    </row>
    <row r="45" spans="1:7" x14ac:dyDescent="0.25">
      <c r="F45" s="67">
        <v>44</v>
      </c>
      <c r="G45" s="68">
        <v>5.8500000000000003E-2</v>
      </c>
    </row>
    <row r="46" spans="1:7" x14ac:dyDescent="0.25">
      <c r="F46" s="67">
        <v>45</v>
      </c>
      <c r="G46" s="68">
        <v>5.8500000000000003E-2</v>
      </c>
    </row>
    <row r="47" spans="1:7" x14ac:dyDescent="0.25">
      <c r="F47" s="67">
        <v>46</v>
      </c>
      <c r="G47" s="68">
        <v>5.8500000000000003E-2</v>
      </c>
    </row>
    <row r="48" spans="1:7" x14ac:dyDescent="0.25">
      <c r="F48" s="67">
        <v>47</v>
      </c>
      <c r="G48" s="68">
        <v>5.8500000000000003E-2</v>
      </c>
    </row>
    <row r="49" spans="6:7" x14ac:dyDescent="0.25">
      <c r="F49" s="67">
        <v>48</v>
      </c>
      <c r="G49" s="68">
        <v>5.8500000000000003E-2</v>
      </c>
    </row>
  </sheetData>
  <sheetProtection algorithmName="SHA-512" hashValue="mucS4VCL3q9T/bj1n78vYoIriAYPxbbyYjXEQSWUnNdy2pp0zc0Hwy1oXwFjGW0eaBPHDgY8PTUf/NQgX8f8ZQ==" saltValue="aHKJubd6V+SDw8oylT4O9A==" spinCount="100000" sheet="1" objects="1" scenarios="1"/>
  <sortState xmlns:xlrd2="http://schemas.microsoft.com/office/spreadsheetml/2017/richdata2" ref="I4:I7">
    <sortCondition ref="I4"/>
  </sortState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69"/>
  <sheetViews>
    <sheetView zoomScaleNormal="100" workbookViewId="0">
      <pane xSplit="8" ySplit="8" topLeftCell="I9" activePane="bottomRight" state="frozen"/>
      <selection pane="topRight" activeCell="I1" sqref="I1"/>
      <selection pane="bottomLeft" activeCell="A9" sqref="A9"/>
      <selection pane="bottomRight" activeCell="B9" sqref="B9"/>
    </sheetView>
  </sheetViews>
  <sheetFormatPr defaultColWidth="9.140625" defaultRowHeight="15" x14ac:dyDescent="0.25"/>
  <cols>
    <col min="1" max="1" width="1.7109375" style="49" customWidth="1"/>
    <col min="2" max="2" width="8" style="48" bestFit="1" customWidth="1"/>
    <col min="3" max="3" width="13.7109375" style="48" customWidth="1"/>
    <col min="4" max="4" width="1.7109375" style="49" customWidth="1"/>
    <col min="5" max="6" width="13.7109375" style="48" customWidth="1"/>
    <col min="7" max="7" width="10.7109375" style="48" bestFit="1" customWidth="1"/>
    <col min="8" max="8" width="1.7109375" style="49" customWidth="1"/>
    <col min="9" max="9" width="10.5703125" style="48" bestFit="1" customWidth="1"/>
    <col min="10" max="13" width="13.7109375" style="48" customWidth="1"/>
    <col min="14" max="14" width="1.7109375" style="49" customWidth="1"/>
    <col min="15" max="15" width="16.7109375" style="48" customWidth="1"/>
    <col min="16" max="17" width="13.7109375" style="48" customWidth="1"/>
    <col min="18" max="18" width="1.7109375" style="49" customWidth="1"/>
    <col min="19" max="19" width="10.5703125" style="48" bestFit="1" customWidth="1"/>
    <col min="20" max="22" width="13.7109375" style="48" customWidth="1"/>
    <col min="23" max="23" width="1.7109375" style="49" customWidth="1"/>
    <col min="24" max="24" width="10.5703125" style="48" bestFit="1" customWidth="1"/>
    <col min="25" max="25" width="12.5703125" style="48" bestFit="1" customWidth="1"/>
    <col min="26" max="16384" width="9.140625" style="48"/>
  </cols>
  <sheetData>
    <row r="1" spans="1:25" x14ac:dyDescent="0.25">
      <c r="A1" s="76" t="s">
        <v>56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</row>
    <row r="2" spans="1:25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3" spans="1:25" x14ac:dyDescent="0.25">
      <c r="A3" s="76" t="str">
        <f>IF(dropdown!K6=dropdown!K3,"ANNUÏTAIRE","")&amp;IF(dropdown!K6=dropdown!K2,"LINEAIRE","")&amp;" LEENLAAG"</f>
        <v>ANNUÏTAIRE LEENLAAG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</row>
    <row r="4" spans="1:25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</row>
    <row r="5" spans="1:25" ht="7.5" customHeight="1" x14ac:dyDescent="0.25">
      <c r="B5" s="49"/>
      <c r="C5" s="49"/>
      <c r="E5" s="49"/>
      <c r="F5" s="49"/>
      <c r="G5" s="49"/>
      <c r="I5" s="49"/>
      <c r="J5" s="49"/>
      <c r="K5" s="49"/>
      <c r="L5" s="49"/>
      <c r="M5" s="49"/>
      <c r="O5" s="49"/>
      <c r="P5" s="49"/>
      <c r="Q5" s="49"/>
      <c r="S5" s="49"/>
      <c r="T5" s="49"/>
      <c r="U5" s="49"/>
      <c r="V5" s="49"/>
    </row>
    <row r="6" spans="1:25" ht="15" customHeight="1" x14ac:dyDescent="0.25">
      <c r="B6" s="77" t="s">
        <v>42</v>
      </c>
      <c r="C6" s="77"/>
      <c r="E6" s="77" t="s">
        <v>43</v>
      </c>
      <c r="F6" s="77"/>
      <c r="G6" s="77"/>
      <c r="I6" s="77" t="s">
        <v>50</v>
      </c>
      <c r="J6" s="77"/>
      <c r="K6" s="77"/>
      <c r="L6" s="77"/>
      <c r="M6" s="77"/>
      <c r="O6" s="77" t="s">
        <v>5</v>
      </c>
      <c r="P6" s="77"/>
      <c r="Q6" s="77"/>
      <c r="S6" s="77" t="s">
        <v>25</v>
      </c>
      <c r="T6" s="77"/>
      <c r="U6" s="77"/>
      <c r="V6" s="77"/>
    </row>
    <row r="7" spans="1:25" s="52" customFormat="1" ht="30" customHeight="1" x14ac:dyDescent="0.25">
      <c r="A7" s="50"/>
      <c r="B7" s="51" t="s">
        <v>44</v>
      </c>
      <c r="C7" s="51" t="s">
        <v>45</v>
      </c>
      <c r="D7" s="50"/>
      <c r="E7" s="51" t="s">
        <v>46</v>
      </c>
      <c r="F7" s="51" t="s">
        <v>47</v>
      </c>
      <c r="G7" s="51" t="s">
        <v>48</v>
      </c>
      <c r="H7" s="50"/>
      <c r="I7" s="51" t="s">
        <v>49</v>
      </c>
      <c r="J7" s="51" t="s">
        <v>50</v>
      </c>
      <c r="K7" s="51" t="s">
        <v>5</v>
      </c>
      <c r="L7" s="51" t="s">
        <v>57</v>
      </c>
      <c r="M7" s="51" t="s">
        <v>62</v>
      </c>
      <c r="N7" s="50"/>
      <c r="O7" s="51" t="s">
        <v>53</v>
      </c>
      <c r="P7" s="51" t="s">
        <v>54</v>
      </c>
      <c r="Q7" s="51" t="s">
        <v>55</v>
      </c>
      <c r="R7" s="50"/>
      <c r="S7" s="51" t="s">
        <v>49</v>
      </c>
      <c r="T7" s="51" t="s">
        <v>50</v>
      </c>
      <c r="U7" s="51" t="s">
        <v>57</v>
      </c>
      <c r="V7" s="51" t="s">
        <v>5</v>
      </c>
      <c r="W7" s="50"/>
    </row>
    <row r="8" spans="1:25" ht="7.5" customHeight="1" x14ac:dyDescent="0.25">
      <c r="B8" s="49"/>
      <c r="C8" s="49"/>
      <c r="E8" s="49"/>
      <c r="F8" s="49"/>
      <c r="G8" s="49"/>
      <c r="I8" s="49"/>
      <c r="J8" s="49"/>
      <c r="K8" s="49"/>
      <c r="L8" s="49"/>
      <c r="M8" s="49"/>
      <c r="O8" s="49"/>
      <c r="P8" s="49"/>
      <c r="Q8" s="49"/>
      <c r="S8" s="49"/>
      <c r="T8" s="49"/>
      <c r="U8" s="49"/>
      <c r="V8" s="49"/>
    </row>
    <row r="9" spans="1:25" s="59" customFormat="1" ht="15" customHeight="1" x14ac:dyDescent="0.25">
      <c r="A9" s="53"/>
      <c r="B9" s="54">
        <v>0</v>
      </c>
      <c r="C9" s="55">
        <f ca="1">EOMONTH(TODAY(),0)+1</f>
        <v>45231</v>
      </c>
      <c r="D9" s="53"/>
      <c r="E9" s="55">
        <f ca="1">C9</f>
        <v>45231</v>
      </c>
      <c r="F9" s="55">
        <f ca="1">E9</f>
        <v>45231</v>
      </c>
      <c r="G9" s="56">
        <v>0</v>
      </c>
      <c r="H9" s="57"/>
      <c r="I9" s="58">
        <f>dropdown!$D$1</f>
        <v>0</v>
      </c>
      <c r="J9" s="58">
        <f>IF(I9&lt;0.001,0,IF(B9&lt;dropdown!$D$13+1,0,IF(Aflossingsmethode="Lineair",Aflossingsbedrag,IF(Aflossingsmethode="Annuïteit",IFERROR(Bedrag_annuïteit-K9,0),0))))</f>
        <v>0</v>
      </c>
      <c r="K9" s="58">
        <v>0</v>
      </c>
      <c r="L9" s="58">
        <f>I9</f>
        <v>0</v>
      </c>
      <c r="M9" s="58">
        <f>L9-Kosten-Garantie</f>
        <v>0</v>
      </c>
      <c r="N9" s="57"/>
      <c r="O9" s="60">
        <f>Rentekosten</f>
        <v>8.2916666666666677E-3</v>
      </c>
      <c r="P9" s="60">
        <f>Rentekosten*(POWER(1+Rentekosten,$B9-1+1))</f>
        <v>8.2916666666666677E-3</v>
      </c>
      <c r="Q9" s="60">
        <v>0</v>
      </c>
      <c r="R9" s="57"/>
      <c r="S9" s="58">
        <f>dropdown!$D$1</f>
        <v>0</v>
      </c>
      <c r="T9" s="58">
        <f>J9/(POWER(1+Rentekosten,$B9-1+1))</f>
        <v>0</v>
      </c>
      <c r="U9" s="61">
        <f>T9+V9</f>
        <v>0</v>
      </c>
      <c r="V9" s="58">
        <f>K9/(POWER(1+Rentekosten,$B9-1+1))</f>
        <v>0</v>
      </c>
      <c r="W9" s="57"/>
      <c r="X9" s="61"/>
      <c r="Y9" s="62"/>
    </row>
    <row r="10" spans="1:25" s="59" customFormat="1" x14ac:dyDescent="0.25">
      <c r="A10" s="53"/>
      <c r="B10" s="54">
        <f>IF($B9="","",IF($B9+1&gt;dropdown!$D$12,"",Schema!B9+1))</f>
        <v>1</v>
      </c>
      <c r="C10" s="55">
        <f ca="1">IF($B9="","",IF($B9+1&gt;dropdown!$D$12,"",EOMONTH(C9,0)+1))</f>
        <v>45261</v>
      </c>
      <c r="D10" s="53"/>
      <c r="E10" s="55">
        <f ca="1">IF($B9="","",IF($B9+1&gt;dropdown!$D$12,"",E9))</f>
        <v>45231</v>
      </c>
      <c r="F10" s="55">
        <f ca="1">IF($B9="","",IF($B9+1&gt;dropdown!$D$12,"",EOMONTH(E10,0)))</f>
        <v>45260</v>
      </c>
      <c r="G10" s="56">
        <f ca="1">IF($B9="","",IF($B9+1&gt;dropdown!$D$12,"",(_xlfn.DAYS(F10,E10)+1)/DAY(F10)))</f>
        <v>1</v>
      </c>
      <c r="H10" s="57"/>
      <c r="I10" s="58">
        <f>IF($B9="","",IF($B9+1&gt;dropdown!$D$12,"",I9-J9))</f>
        <v>0</v>
      </c>
      <c r="J10" s="58">
        <f>IF($B9="","",IF($B9+1&gt;dropdown!$D$12,"",IF(B9&lt;dropdown!$D$13,0,IF(Aflossingsmethode="Lineair",Aflossingsbedrag,IF(Aflossingsmethode="Annuïteit",IFERROR(Bedrag_annuïteit-K10,0),0)))))</f>
        <v>0</v>
      </c>
      <c r="K10" s="58">
        <f ca="1">IF($B9="","",IF($B9+1&gt;dropdown!$D$12,"",G10*I10*Rentekosten))</f>
        <v>0</v>
      </c>
      <c r="L10" s="58">
        <f ca="1">IF(S10="","",-K10-J10)</f>
        <v>0</v>
      </c>
      <c r="M10" s="58">
        <f t="shared" ref="M10:M73" ca="1" si="0">IF(S10="","",-K10-J10)</f>
        <v>0</v>
      </c>
      <c r="N10" s="57"/>
      <c r="O10" s="60">
        <f t="shared" ref="O10:O73" si="1">IF($B10="","",Rentekosten)</f>
        <v>8.2916666666666677E-3</v>
      </c>
      <c r="P10" s="60">
        <f t="shared" ref="P10:P73" si="2">IF($B10="","",Rentekosten*(POWER(1+Rentekosten,$B10-1+1)))</f>
        <v>8.3604184027777778E-3</v>
      </c>
      <c r="Q10" s="60">
        <f>IF($B10="","",IFERROR(J10/T10-1,0))</f>
        <v>0</v>
      </c>
      <c r="R10" s="57"/>
      <c r="S10" s="58">
        <f t="shared" ref="S10:S73" si="3">IF(B10="","",IF(S9-T9&lt;0,"",S9-T9))</f>
        <v>0</v>
      </c>
      <c r="T10" s="58">
        <f t="shared" ref="T10:T73" si="4">IF(S10="","",J10/(POWER(1+Rentekosten,$B10-1+1)))</f>
        <v>0</v>
      </c>
      <c r="U10" s="61">
        <f ca="1">IF(S10="","",T10+V10)</f>
        <v>0</v>
      </c>
      <c r="V10" s="58">
        <f t="shared" ref="V10:V73" ca="1" si="5">IF($B10="","",K10/(POWER(1+Rentekosten,$B10-1+1)))</f>
        <v>0</v>
      </c>
      <c r="W10" s="57"/>
      <c r="X10" s="61"/>
      <c r="Y10" s="62"/>
    </row>
    <row r="11" spans="1:25" s="59" customFormat="1" x14ac:dyDescent="0.25">
      <c r="A11" s="53"/>
      <c r="B11" s="54">
        <f>IF($B10="","",IF($B10+1&gt;dropdown!$D$12,"",Schema!B10+1))</f>
        <v>2</v>
      </c>
      <c r="C11" s="55">
        <f ca="1">IF($B10="","",IF($B10+1&gt;dropdown!$D$12,"",EOMONTH(C10,0)+1))</f>
        <v>45292</v>
      </c>
      <c r="D11" s="53"/>
      <c r="E11" s="55">
        <f ca="1">IF($B10="","",IF($B10+1&gt;dropdown!$D$12,"",F10+1))</f>
        <v>45261</v>
      </c>
      <c r="F11" s="55">
        <f ca="1">IF($B10="","",IF($B10+1&gt;dropdown!$D$12,"",EOMONTH(E11,0)))</f>
        <v>45291</v>
      </c>
      <c r="G11" s="56">
        <f ca="1">IF($B10="","",IF($B10+1&gt;dropdown!$D$12,"",(_xlfn.DAYS(F11,E11)+1)/DAY(F11)))</f>
        <v>1</v>
      </c>
      <c r="H11" s="57"/>
      <c r="I11" s="58">
        <f>IF($B10="","",IF($B10+1&gt;dropdown!$D$12,"",I10-J10))</f>
        <v>0</v>
      </c>
      <c r="J11" s="58">
        <f>IF($B10="","",IF($B10+1&gt;dropdown!$D$12,"",IF(B10&lt;dropdown!$D$13,0,IF(Aflossingsmethode="Lineair",Aflossingsbedrag,IF(Aflossingsmethode="Annuïteit",IFERROR(Bedrag_annuïteit-K11,0),0)))))</f>
        <v>0</v>
      </c>
      <c r="K11" s="58">
        <f ca="1">IF($B10="","",IF($B10+1&gt;dropdown!$D$12,"",G11*I11*Rentekosten))</f>
        <v>0</v>
      </c>
      <c r="L11" s="58">
        <f t="shared" ref="L11:L74" ca="1" si="6">IF(S11="","",-K11-J11)</f>
        <v>0</v>
      </c>
      <c r="M11" s="58">
        <f t="shared" ca="1" si="0"/>
        <v>0</v>
      </c>
      <c r="N11" s="57"/>
      <c r="O11" s="60">
        <f t="shared" si="1"/>
        <v>8.2916666666666677E-3</v>
      </c>
      <c r="P11" s="60">
        <f t="shared" si="2"/>
        <v>8.4297402053674763E-3</v>
      </c>
      <c r="Q11" s="60">
        <f t="shared" ref="Q11:Q74" si="7">IF($B11="","",IFERROR(J11/T11-1,0))</f>
        <v>0</v>
      </c>
      <c r="R11" s="57"/>
      <c r="S11" s="58">
        <f t="shared" si="3"/>
        <v>0</v>
      </c>
      <c r="T11" s="58">
        <f t="shared" si="4"/>
        <v>0</v>
      </c>
      <c r="U11" s="61">
        <f t="shared" ref="U11:U74" ca="1" si="8">IF(S11="","",T11+V11)</f>
        <v>0</v>
      </c>
      <c r="V11" s="58">
        <f t="shared" ca="1" si="5"/>
        <v>0</v>
      </c>
      <c r="W11" s="57"/>
      <c r="X11" s="61"/>
      <c r="Y11" s="62"/>
    </row>
    <row r="12" spans="1:25" s="59" customFormat="1" x14ac:dyDescent="0.25">
      <c r="A12" s="53"/>
      <c r="B12" s="54">
        <f>IF($B11="","",IF($B11+1&gt;dropdown!$D$12,"",Schema!B11+1))</f>
        <v>3</v>
      </c>
      <c r="C12" s="55">
        <f ca="1">IF($B11="","",IF($B11+1&gt;dropdown!$D$12,"",EOMONTH(C11,0)+1))</f>
        <v>45323</v>
      </c>
      <c r="D12" s="53"/>
      <c r="E12" s="55">
        <f ca="1">IF($B11="","",IF($B11+1&gt;dropdown!$D$12,"",F11+1))</f>
        <v>45292</v>
      </c>
      <c r="F12" s="55">
        <f ca="1">IF($B11="","",IF($B11+1&gt;dropdown!$D$12,"",EOMONTH(E12,0)))</f>
        <v>45322</v>
      </c>
      <c r="G12" s="56">
        <f ca="1">IF($B11="","",IF($B11+1&gt;dropdown!$D$12,"",(_xlfn.DAYS(F12,E12)+1)/DAY(F12)))</f>
        <v>1</v>
      </c>
      <c r="H12" s="57"/>
      <c r="I12" s="58">
        <f>IF($B11="","",IF($B11+1&gt;dropdown!$D$12,"",I11-J11))</f>
        <v>0</v>
      </c>
      <c r="J12" s="58">
        <f>IF($B11="","",IF($B11+1&gt;dropdown!$D$12,"",IF(B11&lt;dropdown!$D$13,0,IF(Aflossingsmethode="Lineair",Aflossingsbedrag,IF(Aflossingsmethode="Annuïteit",IFERROR(Bedrag_annuïteit-K12,0),0)))))</f>
        <v>0</v>
      </c>
      <c r="K12" s="58">
        <f ca="1">IF($B11="","",IF($B11+1&gt;dropdown!$D$12,"",G12*I12*Rentekosten))</f>
        <v>0</v>
      </c>
      <c r="L12" s="58">
        <f t="shared" ca="1" si="6"/>
        <v>0</v>
      </c>
      <c r="M12" s="58">
        <f t="shared" ca="1" si="0"/>
        <v>0</v>
      </c>
      <c r="N12" s="57"/>
      <c r="O12" s="60">
        <f t="shared" si="1"/>
        <v>8.2916666666666677E-3</v>
      </c>
      <c r="P12" s="60">
        <f t="shared" si="2"/>
        <v>8.4996368012369809E-3</v>
      </c>
      <c r="Q12" s="60">
        <f t="shared" si="7"/>
        <v>0</v>
      </c>
      <c r="R12" s="57"/>
      <c r="S12" s="58">
        <f t="shared" si="3"/>
        <v>0</v>
      </c>
      <c r="T12" s="58">
        <f t="shared" si="4"/>
        <v>0</v>
      </c>
      <c r="U12" s="61">
        <f t="shared" ca="1" si="8"/>
        <v>0</v>
      </c>
      <c r="V12" s="58">
        <f t="shared" ca="1" si="5"/>
        <v>0</v>
      </c>
      <c r="W12" s="57"/>
      <c r="X12" s="61"/>
      <c r="Y12" s="62"/>
    </row>
    <row r="13" spans="1:25" s="59" customFormat="1" x14ac:dyDescent="0.25">
      <c r="A13" s="53"/>
      <c r="B13" s="54">
        <f>IF($B12="","",IF($B12+1&gt;dropdown!$D$12,"",Schema!B12+1))</f>
        <v>4</v>
      </c>
      <c r="C13" s="55">
        <f ca="1">IF($B12="","",IF($B12+1&gt;dropdown!$D$12,"",EOMONTH(C12,0)+1))</f>
        <v>45352</v>
      </c>
      <c r="D13" s="53"/>
      <c r="E13" s="55">
        <f ca="1">IF($B12="","",IF($B12+1&gt;dropdown!$D$12,"",F12+1))</f>
        <v>45323</v>
      </c>
      <c r="F13" s="55">
        <f ca="1">IF($B12="","",IF($B12+1&gt;dropdown!$D$12,"",EOMONTH(E13,0)))</f>
        <v>45351</v>
      </c>
      <c r="G13" s="56">
        <f ca="1">IF($B12="","",IF($B12+1&gt;dropdown!$D$12,"",(_xlfn.DAYS(F13,E13)+1)/DAY(F13)))</f>
        <v>1</v>
      </c>
      <c r="H13" s="57"/>
      <c r="I13" s="58">
        <f>IF($B12="","",IF($B12+1&gt;dropdown!$D$12,"",I12-J12))</f>
        <v>0</v>
      </c>
      <c r="J13" s="58">
        <f ca="1">IF($B12="","",IF($B12+1&gt;dropdown!$D$12,"",IF(B12&lt;dropdown!$D$13,0,IF(Aflossingsmethode="Lineair",Aflossingsbedrag,IF(Aflossingsmethode="Annuïteit",IFERROR(Bedrag_annuïteit-K13,0),0)))))</f>
        <v>0</v>
      </c>
      <c r="K13" s="58">
        <f ca="1">IF($B12="","",IF($B12+1&gt;dropdown!$D$12,"",G13*I13*Rentekosten))</f>
        <v>0</v>
      </c>
      <c r="L13" s="58">
        <f t="shared" ca="1" si="6"/>
        <v>0</v>
      </c>
      <c r="M13" s="58">
        <f t="shared" ca="1" si="0"/>
        <v>0</v>
      </c>
      <c r="N13" s="57"/>
      <c r="O13" s="60">
        <f t="shared" si="1"/>
        <v>8.2916666666666677E-3</v>
      </c>
      <c r="P13" s="60">
        <f t="shared" si="2"/>
        <v>8.5701129563805715E-3</v>
      </c>
      <c r="Q13" s="60">
        <f t="shared" ca="1" si="7"/>
        <v>0</v>
      </c>
      <c r="R13" s="57"/>
      <c r="S13" s="58">
        <f t="shared" si="3"/>
        <v>0</v>
      </c>
      <c r="T13" s="58">
        <f t="shared" ca="1" si="4"/>
        <v>0</v>
      </c>
      <c r="U13" s="61">
        <f t="shared" ca="1" si="8"/>
        <v>0</v>
      </c>
      <c r="V13" s="58">
        <f t="shared" ca="1" si="5"/>
        <v>0</v>
      </c>
      <c r="W13" s="57"/>
      <c r="X13" s="61"/>
      <c r="Y13" s="62"/>
    </row>
    <row r="14" spans="1:25" s="59" customFormat="1" x14ac:dyDescent="0.25">
      <c r="A14" s="53"/>
      <c r="B14" s="54">
        <f>IF($B13="","",IF($B13+1&gt;dropdown!$D$12,"",Schema!B13+1))</f>
        <v>5</v>
      </c>
      <c r="C14" s="55">
        <f ca="1">IF($B13="","",IF($B13+1&gt;dropdown!$D$12,"",EOMONTH(C13,0)+1))</f>
        <v>45383</v>
      </c>
      <c r="D14" s="53"/>
      <c r="E14" s="55">
        <f ca="1">IF($B13="","",IF($B13+1&gt;dropdown!$D$12,"",F13+1))</f>
        <v>45352</v>
      </c>
      <c r="F14" s="55">
        <f ca="1">IF($B13="","",IF($B13+1&gt;dropdown!$D$12,"",EOMONTH(E14,0)))</f>
        <v>45382</v>
      </c>
      <c r="G14" s="56">
        <f ca="1">IF($B13="","",IF($B13+1&gt;dropdown!$D$12,"",(_xlfn.DAYS(F14,E14)+1)/DAY(F14)))</f>
        <v>1</v>
      </c>
      <c r="H14" s="57"/>
      <c r="I14" s="58">
        <f ca="1">IF($B13="","",IF($B13+1&gt;dropdown!$D$12,"",I13-J13))</f>
        <v>0</v>
      </c>
      <c r="J14" s="58">
        <f ca="1">IF($B13="","",IF($B13+1&gt;dropdown!$D$12,"",IF(B13&lt;dropdown!$D$13,0,IF(Aflossingsmethode="Lineair",Aflossingsbedrag,IF(Aflossingsmethode="Annuïteit",IFERROR(Bedrag_annuïteit-K14,0),0)))))</f>
        <v>0</v>
      </c>
      <c r="K14" s="58">
        <f ca="1">IF($B13="","",IF($B13+1&gt;dropdown!$D$12,"",G14*I14*Rentekosten))</f>
        <v>0</v>
      </c>
      <c r="L14" s="58">
        <f t="shared" ca="1" si="6"/>
        <v>0</v>
      </c>
      <c r="M14" s="58">
        <f t="shared" ca="1" si="0"/>
        <v>0</v>
      </c>
      <c r="N14" s="57"/>
      <c r="O14" s="60">
        <f t="shared" si="1"/>
        <v>8.2916666666666677E-3</v>
      </c>
      <c r="P14" s="60">
        <f t="shared" si="2"/>
        <v>8.641173476310559E-3</v>
      </c>
      <c r="Q14" s="60">
        <f t="shared" ca="1" si="7"/>
        <v>0</v>
      </c>
      <c r="R14" s="57"/>
      <c r="S14" s="58">
        <f t="shared" ca="1" si="3"/>
        <v>0</v>
      </c>
      <c r="T14" s="58">
        <f t="shared" ca="1" si="4"/>
        <v>0</v>
      </c>
      <c r="U14" s="61">
        <f t="shared" ca="1" si="8"/>
        <v>0</v>
      </c>
      <c r="V14" s="58">
        <f t="shared" ca="1" si="5"/>
        <v>0</v>
      </c>
      <c r="W14" s="57"/>
      <c r="X14" s="61"/>
      <c r="Y14" s="62"/>
    </row>
    <row r="15" spans="1:25" s="59" customFormat="1" x14ac:dyDescent="0.25">
      <c r="A15" s="53"/>
      <c r="B15" s="54">
        <f>IF($B14="","",IF($B14+1&gt;dropdown!$D$12,"",Schema!B14+1))</f>
        <v>6</v>
      </c>
      <c r="C15" s="55">
        <f ca="1">IF($B14="","",IF($B14+1&gt;dropdown!$D$12,"",EOMONTH(C14,0)+1))</f>
        <v>45413</v>
      </c>
      <c r="D15" s="53"/>
      <c r="E15" s="55">
        <f ca="1">IF($B14="","",IF($B14+1&gt;dropdown!$D$12,"",F14+1))</f>
        <v>45383</v>
      </c>
      <c r="F15" s="55">
        <f ca="1">IF($B14="","",IF($B14+1&gt;dropdown!$D$12,"",EOMONTH(E15,0)))</f>
        <v>45412</v>
      </c>
      <c r="G15" s="56">
        <f ca="1">IF($B14="","",IF($B14+1&gt;dropdown!$D$12,"",(_xlfn.DAYS(F15,E15)+1)/DAY(F15)))</f>
        <v>1</v>
      </c>
      <c r="H15" s="57"/>
      <c r="I15" s="58">
        <f ca="1">IF($B14="","",IF($B14+1&gt;dropdown!$D$12,"",I14-J14))</f>
        <v>0</v>
      </c>
      <c r="J15" s="58">
        <f ca="1">IF($B14="","",IF($B14+1&gt;dropdown!$D$12,"",IF(B14&lt;dropdown!$D$13,0,IF(Aflossingsmethode="Lineair",Aflossingsbedrag,IF(Aflossingsmethode="Annuïteit",IFERROR(Bedrag_annuïteit-K15,0),0)))))</f>
        <v>0</v>
      </c>
      <c r="K15" s="58">
        <f ca="1">IF($B14="","",IF($B14+1&gt;dropdown!$D$12,"",G15*I15*Rentekosten))</f>
        <v>0</v>
      </c>
      <c r="L15" s="58">
        <f t="shared" ca="1" si="6"/>
        <v>0</v>
      </c>
      <c r="M15" s="58">
        <f t="shared" ca="1" si="0"/>
        <v>0</v>
      </c>
      <c r="N15" s="57"/>
      <c r="O15" s="60">
        <f t="shared" si="1"/>
        <v>8.2916666666666677E-3</v>
      </c>
      <c r="P15" s="60">
        <f t="shared" si="2"/>
        <v>8.7128232063849662E-3</v>
      </c>
      <c r="Q15" s="60">
        <f t="shared" ca="1" si="7"/>
        <v>0</v>
      </c>
      <c r="R15" s="57"/>
      <c r="S15" s="58">
        <f t="shared" ca="1" si="3"/>
        <v>0</v>
      </c>
      <c r="T15" s="58">
        <f t="shared" ca="1" si="4"/>
        <v>0</v>
      </c>
      <c r="U15" s="61">
        <f t="shared" ca="1" si="8"/>
        <v>0</v>
      </c>
      <c r="V15" s="58">
        <f t="shared" ca="1" si="5"/>
        <v>0</v>
      </c>
      <c r="W15" s="57"/>
      <c r="X15" s="61"/>
      <c r="Y15" s="62"/>
    </row>
    <row r="16" spans="1:25" s="59" customFormat="1" x14ac:dyDescent="0.25">
      <c r="A16" s="53"/>
      <c r="B16" s="54">
        <f>IF($B15="","",IF($B15+1&gt;dropdown!$D$12,"",Schema!B15+1))</f>
        <v>7</v>
      </c>
      <c r="C16" s="55">
        <f ca="1">IF($B15="","",IF($B15+1&gt;dropdown!$D$12,"",EOMONTH(C15,0)+1))</f>
        <v>45444</v>
      </c>
      <c r="D16" s="53"/>
      <c r="E16" s="55">
        <f ca="1">IF($B15="","",IF($B15+1&gt;dropdown!$D$12,"",F15+1))</f>
        <v>45413</v>
      </c>
      <c r="F16" s="55">
        <f ca="1">IF($B15="","",IF($B15+1&gt;dropdown!$D$12,"",EOMONTH(E16,0)))</f>
        <v>45443</v>
      </c>
      <c r="G16" s="56">
        <f ca="1">IF($B15="","",IF($B15+1&gt;dropdown!$D$12,"",(_xlfn.DAYS(F16,E16)+1)/DAY(F16)))</f>
        <v>1</v>
      </c>
      <c r="H16" s="57"/>
      <c r="I16" s="58">
        <f ca="1">IF($B15="","",IF($B15+1&gt;dropdown!$D$12,"",I15-J15))</f>
        <v>0</v>
      </c>
      <c r="J16" s="58">
        <f ca="1">IF($B15="","",IF($B15+1&gt;dropdown!$D$12,"",IF(B15&lt;dropdown!$D$13,0,IF(Aflossingsmethode="Lineair",Aflossingsbedrag,IF(Aflossingsmethode="Annuïteit",IFERROR(Bedrag_annuïteit-K16,0),0)))))</f>
        <v>0</v>
      </c>
      <c r="K16" s="58">
        <f ca="1">IF($B15="","",IF($B15+1&gt;dropdown!$D$12,"",G16*I16*Rentekosten))</f>
        <v>0</v>
      </c>
      <c r="L16" s="58">
        <f t="shared" ca="1" si="6"/>
        <v>0</v>
      </c>
      <c r="M16" s="58">
        <f t="shared" ca="1" si="0"/>
        <v>0</v>
      </c>
      <c r="N16" s="57"/>
      <c r="O16" s="60">
        <f t="shared" si="1"/>
        <v>8.2916666666666677E-3</v>
      </c>
      <c r="P16" s="60">
        <f t="shared" si="2"/>
        <v>8.7850670321379075E-3</v>
      </c>
      <c r="Q16" s="60">
        <f t="shared" ca="1" si="7"/>
        <v>0</v>
      </c>
      <c r="R16" s="57"/>
      <c r="S16" s="58">
        <f t="shared" ca="1" si="3"/>
        <v>0</v>
      </c>
      <c r="T16" s="58">
        <f t="shared" ca="1" si="4"/>
        <v>0</v>
      </c>
      <c r="U16" s="61">
        <f t="shared" ca="1" si="8"/>
        <v>0</v>
      </c>
      <c r="V16" s="58">
        <f t="shared" ca="1" si="5"/>
        <v>0</v>
      </c>
      <c r="W16" s="57"/>
      <c r="X16" s="61"/>
      <c r="Y16" s="62"/>
    </row>
    <row r="17" spans="1:28" s="59" customFormat="1" x14ac:dyDescent="0.25">
      <c r="A17" s="53"/>
      <c r="B17" s="54">
        <f>IF($B16="","",IF($B16+1&gt;dropdown!$D$12,"",Schema!B16+1))</f>
        <v>8</v>
      </c>
      <c r="C17" s="55">
        <f ca="1">IF($B16="","",IF($B16+1&gt;dropdown!$D$12,"",EOMONTH(C16,0)+1))</f>
        <v>45474</v>
      </c>
      <c r="D17" s="53"/>
      <c r="E17" s="55">
        <f ca="1">IF($B16="","",IF($B16+1&gt;dropdown!$D$12,"",F16+1))</f>
        <v>45444</v>
      </c>
      <c r="F17" s="55">
        <f ca="1">IF($B16="","",IF($B16+1&gt;dropdown!$D$12,"",EOMONTH(E17,0)))</f>
        <v>45473</v>
      </c>
      <c r="G17" s="56">
        <f ca="1">IF($B16="","",IF($B16+1&gt;dropdown!$D$12,"",(_xlfn.DAYS(F17,E17)+1)/DAY(F17)))</f>
        <v>1</v>
      </c>
      <c r="H17" s="57"/>
      <c r="I17" s="58">
        <f ca="1">IF($B16="","",IF($B16+1&gt;dropdown!$D$12,"",I16-J16))</f>
        <v>0</v>
      </c>
      <c r="J17" s="58">
        <f ca="1">IF($B16="","",IF($B16+1&gt;dropdown!$D$12,"",IF(B16&lt;dropdown!$D$13,0,IF(Aflossingsmethode="Lineair",Aflossingsbedrag,IF(Aflossingsmethode="Annuïteit",IFERROR(Bedrag_annuïteit-K17,0),0)))))</f>
        <v>0</v>
      </c>
      <c r="K17" s="58">
        <f ca="1">IF($B16="","",IF($B16+1&gt;dropdown!$D$12,"",G17*I17*Rentekosten))</f>
        <v>0</v>
      </c>
      <c r="L17" s="58">
        <f t="shared" ca="1" si="6"/>
        <v>0</v>
      </c>
      <c r="M17" s="58">
        <f t="shared" ca="1" si="0"/>
        <v>0</v>
      </c>
      <c r="N17" s="57"/>
      <c r="O17" s="60">
        <f t="shared" si="1"/>
        <v>8.2916666666666677E-3</v>
      </c>
      <c r="P17" s="60">
        <f t="shared" si="2"/>
        <v>8.8579098796127183E-3</v>
      </c>
      <c r="Q17" s="60">
        <f t="shared" ca="1" si="7"/>
        <v>0</v>
      </c>
      <c r="R17" s="57"/>
      <c r="S17" s="58">
        <f t="shared" ca="1" si="3"/>
        <v>0</v>
      </c>
      <c r="T17" s="58">
        <f t="shared" ca="1" si="4"/>
        <v>0</v>
      </c>
      <c r="U17" s="61">
        <f t="shared" ca="1" si="8"/>
        <v>0</v>
      </c>
      <c r="V17" s="58">
        <f t="shared" ca="1" si="5"/>
        <v>0</v>
      </c>
      <c r="W17" s="57"/>
      <c r="X17" s="61"/>
      <c r="Y17" s="62"/>
    </row>
    <row r="18" spans="1:28" s="59" customFormat="1" x14ac:dyDescent="0.25">
      <c r="A18" s="53"/>
      <c r="B18" s="54">
        <f>IF($B17="","",IF($B17+1&gt;dropdown!$D$12,"",Schema!B17+1))</f>
        <v>9</v>
      </c>
      <c r="C18" s="55">
        <f ca="1">IF($B17="","",IF($B17+1&gt;dropdown!$D$12,"",EOMONTH(C17,0)+1))</f>
        <v>45505</v>
      </c>
      <c r="D18" s="53"/>
      <c r="E18" s="55">
        <f ca="1">IF($B17="","",IF($B17+1&gt;dropdown!$D$12,"",F17+1))</f>
        <v>45474</v>
      </c>
      <c r="F18" s="55">
        <f ca="1">IF($B17="","",IF($B17+1&gt;dropdown!$D$12,"",EOMONTH(E18,0)))</f>
        <v>45504</v>
      </c>
      <c r="G18" s="56">
        <f ca="1">IF($B17="","",IF($B17+1&gt;dropdown!$D$12,"",(_xlfn.DAYS(F18,E18)+1)/DAY(F18)))</f>
        <v>1</v>
      </c>
      <c r="H18" s="57"/>
      <c r="I18" s="58">
        <f ca="1">IF($B17="","",IF($B17+1&gt;dropdown!$D$12,"",I17-J17))</f>
        <v>0</v>
      </c>
      <c r="J18" s="58">
        <f ca="1">IF($B17="","",IF($B17+1&gt;dropdown!$D$12,"",IF(B17&lt;dropdown!$D$13,0,IF(Aflossingsmethode="Lineair",Aflossingsbedrag,IF(Aflossingsmethode="Annuïteit",IFERROR(Bedrag_annuïteit-K18,0),0)))))</f>
        <v>0</v>
      </c>
      <c r="K18" s="58">
        <f ca="1">IF($B17="","",IF($B17+1&gt;dropdown!$D$12,"",G18*I18*Rentekosten))</f>
        <v>0</v>
      </c>
      <c r="L18" s="58">
        <f t="shared" ca="1" si="6"/>
        <v>0</v>
      </c>
      <c r="M18" s="58">
        <f t="shared" ca="1" si="0"/>
        <v>0</v>
      </c>
      <c r="N18" s="57"/>
      <c r="O18" s="60">
        <f t="shared" si="1"/>
        <v>8.2916666666666677E-3</v>
      </c>
      <c r="P18" s="60">
        <f t="shared" si="2"/>
        <v>8.9313567156978392E-3</v>
      </c>
      <c r="Q18" s="60">
        <f t="shared" ca="1" si="7"/>
        <v>0</v>
      </c>
      <c r="R18" s="57"/>
      <c r="S18" s="58">
        <f t="shared" ca="1" si="3"/>
        <v>0</v>
      </c>
      <c r="T18" s="58">
        <f t="shared" ca="1" si="4"/>
        <v>0</v>
      </c>
      <c r="U18" s="61">
        <f t="shared" ca="1" si="8"/>
        <v>0</v>
      </c>
      <c r="V18" s="58">
        <f t="shared" ca="1" si="5"/>
        <v>0</v>
      </c>
      <c r="W18" s="57"/>
      <c r="X18" s="61"/>
      <c r="Y18" s="62"/>
    </row>
    <row r="19" spans="1:28" s="59" customFormat="1" x14ac:dyDescent="0.25">
      <c r="A19" s="53"/>
      <c r="B19" s="54">
        <f>IF($B18="","",IF($B18+1&gt;dropdown!$D$12,"",Schema!B18+1))</f>
        <v>10</v>
      </c>
      <c r="C19" s="55">
        <f ca="1">IF($B18="","",IF($B18+1&gt;dropdown!$D$12,"",EOMONTH(C18,0)+1))</f>
        <v>45536</v>
      </c>
      <c r="D19" s="53"/>
      <c r="E19" s="55">
        <f ca="1">IF($B18="","",IF($B18+1&gt;dropdown!$D$12,"",F18+1))</f>
        <v>45505</v>
      </c>
      <c r="F19" s="55">
        <f ca="1">IF($B18="","",IF($B18+1&gt;dropdown!$D$12,"",EOMONTH(E19,0)))</f>
        <v>45535</v>
      </c>
      <c r="G19" s="56">
        <f ca="1">IF($B18="","",IF($B18+1&gt;dropdown!$D$12,"",(_xlfn.DAYS(F19,E19)+1)/DAY(F19)))</f>
        <v>1</v>
      </c>
      <c r="H19" s="57"/>
      <c r="I19" s="58">
        <f ca="1">IF($B18="","",IF($B18+1&gt;dropdown!$D$12,"",I18-J18))</f>
        <v>0</v>
      </c>
      <c r="J19" s="58">
        <f ca="1">IF($B18="","",IF($B18+1&gt;dropdown!$D$12,"",IF(B18&lt;dropdown!$D$13,0,IF(Aflossingsmethode="Lineair",Aflossingsbedrag,IF(Aflossingsmethode="Annuïteit",IFERROR(Bedrag_annuïteit-K19,0),0)))))</f>
        <v>0</v>
      </c>
      <c r="K19" s="58">
        <f ca="1">IF($B18="","",IF($B18+1&gt;dropdown!$D$12,"",G19*I19*Rentekosten))</f>
        <v>0</v>
      </c>
      <c r="L19" s="58">
        <f t="shared" ca="1" si="6"/>
        <v>0</v>
      </c>
      <c r="M19" s="58">
        <f t="shared" ca="1" si="0"/>
        <v>0</v>
      </c>
      <c r="N19" s="57"/>
      <c r="O19" s="60">
        <f t="shared" si="1"/>
        <v>8.2916666666666677E-3</v>
      </c>
      <c r="P19" s="60">
        <f t="shared" si="2"/>
        <v>9.0054125484654995E-3</v>
      </c>
      <c r="Q19" s="60">
        <f t="shared" ca="1" si="7"/>
        <v>0</v>
      </c>
      <c r="R19" s="57"/>
      <c r="S19" s="58">
        <f t="shared" ca="1" si="3"/>
        <v>0</v>
      </c>
      <c r="T19" s="58">
        <f t="shared" ca="1" si="4"/>
        <v>0</v>
      </c>
      <c r="U19" s="61">
        <f t="shared" ca="1" si="8"/>
        <v>0</v>
      </c>
      <c r="V19" s="58">
        <f t="shared" ca="1" si="5"/>
        <v>0</v>
      </c>
      <c r="W19" s="57"/>
      <c r="X19" s="61"/>
      <c r="Y19" s="62"/>
    </row>
    <row r="20" spans="1:28" s="59" customFormat="1" x14ac:dyDescent="0.25">
      <c r="A20" s="53"/>
      <c r="B20" s="54">
        <f>IF($B19="","",IF($B19+1&gt;dropdown!$D$12,"",Schema!B19+1))</f>
        <v>11</v>
      </c>
      <c r="C20" s="55">
        <f ca="1">IF($B19="","",IF($B19+1&gt;dropdown!$D$12,"",EOMONTH(C19,0)+1))</f>
        <v>45566</v>
      </c>
      <c r="D20" s="53"/>
      <c r="E20" s="55">
        <f ca="1">IF($B19="","",IF($B19+1&gt;dropdown!$D$12,"",F19+1))</f>
        <v>45536</v>
      </c>
      <c r="F20" s="55">
        <f ca="1">IF($B19="","",IF($B19+1&gt;dropdown!$D$12,"",EOMONTH(E20,0)))</f>
        <v>45565</v>
      </c>
      <c r="G20" s="56">
        <f ca="1">IF($B19="","",IF($B19+1&gt;dropdown!$D$12,"",(_xlfn.DAYS(F20,E20)+1)/DAY(F20)))</f>
        <v>1</v>
      </c>
      <c r="H20" s="57"/>
      <c r="I20" s="58">
        <f ca="1">IF($B19="","",IF($B19+1&gt;dropdown!$D$12,"",I19-J19))</f>
        <v>0</v>
      </c>
      <c r="J20" s="58">
        <f ca="1">IF($B19="","",IF($B19+1&gt;dropdown!$D$12,"",IF(B19&lt;dropdown!$D$13,0,IF(Aflossingsmethode="Lineair",Aflossingsbedrag,IF(Aflossingsmethode="Annuïteit",IFERROR(Bedrag_annuïteit-K20,0),0)))))</f>
        <v>0</v>
      </c>
      <c r="K20" s="58">
        <f ca="1">IF($B19="","",IF($B19+1&gt;dropdown!$D$12,"",G20*I20*Rentekosten))</f>
        <v>0</v>
      </c>
      <c r="L20" s="58">
        <f t="shared" ca="1" si="6"/>
        <v>0</v>
      </c>
      <c r="M20" s="58">
        <f t="shared" ca="1" si="0"/>
        <v>0</v>
      </c>
      <c r="N20" s="57"/>
      <c r="O20" s="60">
        <f t="shared" si="1"/>
        <v>8.2916666666666677E-3</v>
      </c>
      <c r="P20" s="60">
        <f t="shared" si="2"/>
        <v>9.080082427513193E-3</v>
      </c>
      <c r="Q20" s="60">
        <f t="shared" ca="1" si="7"/>
        <v>0</v>
      </c>
      <c r="R20" s="57"/>
      <c r="S20" s="58">
        <f t="shared" ca="1" si="3"/>
        <v>0</v>
      </c>
      <c r="T20" s="58">
        <f t="shared" ca="1" si="4"/>
        <v>0</v>
      </c>
      <c r="U20" s="61">
        <f t="shared" ca="1" si="8"/>
        <v>0</v>
      </c>
      <c r="V20" s="58">
        <f t="shared" ca="1" si="5"/>
        <v>0</v>
      </c>
      <c r="W20" s="57"/>
      <c r="X20" s="61"/>
      <c r="Y20" s="62"/>
    </row>
    <row r="21" spans="1:28" s="59" customFormat="1" x14ac:dyDescent="0.25">
      <c r="A21" s="53"/>
      <c r="B21" s="54">
        <f>IF($B20="","",IF($B20+1&gt;dropdown!$D$12,"",Schema!B20+1))</f>
        <v>12</v>
      </c>
      <c r="C21" s="55">
        <f ca="1">IF($B20="","",IF($B20+1&gt;dropdown!$D$12,"",EOMONTH(C20,0)+1))</f>
        <v>45597</v>
      </c>
      <c r="D21" s="53"/>
      <c r="E21" s="55">
        <f ca="1">IF($B20="","",IF($B20+1&gt;dropdown!$D$12,"",F20+1))</f>
        <v>45566</v>
      </c>
      <c r="F21" s="55">
        <f ca="1">IF($B20="","",IF($B20+1&gt;dropdown!$D$12,"",EOMONTH(E21,0)))</f>
        <v>45596</v>
      </c>
      <c r="G21" s="56">
        <f ca="1">IF($B20="","",IF($B20+1&gt;dropdown!$D$12,"",(_xlfn.DAYS(F21,E21)+1)/DAY(F21)))</f>
        <v>1</v>
      </c>
      <c r="H21" s="57"/>
      <c r="I21" s="58">
        <f ca="1">IF($B20="","",IF($B20+1&gt;dropdown!$D$12,"",I20-J20))</f>
        <v>0</v>
      </c>
      <c r="J21" s="58">
        <f ca="1">IF($B20="","",IF($B20+1&gt;dropdown!$D$12,"",IF(B20&lt;dropdown!$D$13,0,IF(Aflossingsmethode="Lineair",Aflossingsbedrag,IF(Aflossingsmethode="Annuïteit",IFERROR(Bedrag_annuïteit-K21,0),0)))))</f>
        <v>0</v>
      </c>
      <c r="K21" s="58">
        <f ca="1">IF($B20="","",IF($B20+1&gt;dropdown!$D$12,"",G21*I21*Rentekosten))</f>
        <v>0</v>
      </c>
      <c r="L21" s="58">
        <f t="shared" ca="1" si="6"/>
        <v>0</v>
      </c>
      <c r="M21" s="58">
        <f t="shared" ca="1" si="0"/>
        <v>0</v>
      </c>
      <c r="N21" s="57"/>
      <c r="O21" s="60">
        <f t="shared" si="1"/>
        <v>8.2916666666666677E-3</v>
      </c>
      <c r="P21" s="60">
        <f t="shared" si="2"/>
        <v>9.1553714443079887E-3</v>
      </c>
      <c r="Q21" s="60">
        <f t="shared" ca="1" si="7"/>
        <v>0</v>
      </c>
      <c r="R21" s="57"/>
      <c r="S21" s="58">
        <f t="shared" ca="1" si="3"/>
        <v>0</v>
      </c>
      <c r="T21" s="58">
        <f t="shared" ca="1" si="4"/>
        <v>0</v>
      </c>
      <c r="U21" s="61">
        <f t="shared" ca="1" si="8"/>
        <v>0</v>
      </c>
      <c r="V21" s="58">
        <f t="shared" ca="1" si="5"/>
        <v>0</v>
      </c>
      <c r="W21" s="57"/>
      <c r="X21" s="61"/>
      <c r="Y21" s="62"/>
    </row>
    <row r="22" spans="1:28" s="59" customFormat="1" x14ac:dyDescent="0.25">
      <c r="A22" s="53"/>
      <c r="B22" s="54">
        <f>IF($B21="","",IF($B21+1&gt;dropdown!$D$12,"",Schema!B21+1))</f>
        <v>13</v>
      </c>
      <c r="C22" s="55">
        <f ca="1">IF($B21="","",IF($B21+1&gt;dropdown!$D$12,"",EOMONTH(C21,0)+1))</f>
        <v>45627</v>
      </c>
      <c r="D22" s="53"/>
      <c r="E22" s="55">
        <f ca="1">IF($B21="","",IF($B21+1&gt;dropdown!$D$12,"",F21+1))</f>
        <v>45597</v>
      </c>
      <c r="F22" s="55">
        <f ca="1">IF($B21="","",IF($B21+1&gt;dropdown!$D$12,"",EOMONTH(E22,0)))</f>
        <v>45626</v>
      </c>
      <c r="G22" s="56">
        <f ca="1">IF($B21="","",IF($B21+1&gt;dropdown!$D$12,"",(_xlfn.DAYS(F22,E22)+1)/DAY(F22)))</f>
        <v>1</v>
      </c>
      <c r="H22" s="57"/>
      <c r="I22" s="58">
        <f ca="1">IF($B21="","",IF($B21+1&gt;dropdown!$D$12,"",I21-J21))</f>
        <v>0</v>
      </c>
      <c r="J22" s="58">
        <f ca="1">IF($B21="","",IF($B21+1&gt;dropdown!$D$12,"",IF(B21&lt;dropdown!$D$13,0,IF(Aflossingsmethode="Lineair",Aflossingsbedrag,IF(Aflossingsmethode="Annuïteit",IFERROR(Bedrag_annuïteit-K22,0),0)))))</f>
        <v>0</v>
      </c>
      <c r="K22" s="58">
        <f ca="1">IF($B21="","",IF($B21+1&gt;dropdown!$D$12,"",G22*I22*Rentekosten))</f>
        <v>0</v>
      </c>
      <c r="L22" s="58">
        <f t="shared" ca="1" si="6"/>
        <v>0</v>
      </c>
      <c r="M22" s="58">
        <f t="shared" ca="1" si="0"/>
        <v>0</v>
      </c>
      <c r="N22" s="57"/>
      <c r="O22" s="60">
        <f t="shared" si="1"/>
        <v>8.2916666666666677E-3</v>
      </c>
      <c r="P22" s="60">
        <f t="shared" si="2"/>
        <v>9.2312847325337084E-3</v>
      </c>
      <c r="Q22" s="60">
        <f t="shared" ca="1" si="7"/>
        <v>0</v>
      </c>
      <c r="R22" s="57"/>
      <c r="S22" s="58">
        <f t="shared" ca="1" si="3"/>
        <v>0</v>
      </c>
      <c r="T22" s="58">
        <f t="shared" ca="1" si="4"/>
        <v>0</v>
      </c>
      <c r="U22" s="61">
        <f t="shared" ca="1" si="8"/>
        <v>0</v>
      </c>
      <c r="V22" s="58">
        <f t="shared" ca="1" si="5"/>
        <v>0</v>
      </c>
      <c r="W22" s="57"/>
      <c r="X22" s="61"/>
      <c r="Y22" s="64"/>
    </row>
    <row r="23" spans="1:28" s="59" customFormat="1" x14ac:dyDescent="0.25">
      <c r="A23" s="53"/>
      <c r="B23" s="54">
        <f>IF($B22="","",IF($B22+1&gt;dropdown!$D$12,"",Schema!B22+1))</f>
        <v>14</v>
      </c>
      <c r="C23" s="55">
        <f ca="1">IF($B22="","",IF($B22+1&gt;dropdown!$D$12,"",EOMONTH(C22,0)+1))</f>
        <v>45658</v>
      </c>
      <c r="D23" s="53"/>
      <c r="E23" s="55">
        <f ca="1">IF($B22="","",IF($B22+1&gt;dropdown!$D$12,"",F22+1))</f>
        <v>45627</v>
      </c>
      <c r="F23" s="55">
        <f ca="1">IF($B22="","",IF($B22+1&gt;dropdown!$D$12,"",EOMONTH(E23,0)))</f>
        <v>45657</v>
      </c>
      <c r="G23" s="56">
        <f ca="1">IF($B22="","",IF($B22+1&gt;dropdown!$D$12,"",(_xlfn.DAYS(F23,E23)+1)/DAY(F23)))</f>
        <v>1</v>
      </c>
      <c r="H23" s="57"/>
      <c r="I23" s="58">
        <f ca="1">IF($B22="","",IF($B22+1&gt;dropdown!$D$12,"",I22-J22))</f>
        <v>0</v>
      </c>
      <c r="J23" s="58">
        <f ca="1">IF($B22="","",IF($B22+1&gt;dropdown!$D$12,"",IF(B22&lt;dropdown!$D$13,0,IF(Aflossingsmethode="Lineair",Aflossingsbedrag,IF(Aflossingsmethode="Annuïteit",IFERROR(Bedrag_annuïteit-K23,0),0)))))</f>
        <v>0</v>
      </c>
      <c r="K23" s="58">
        <f ca="1">IF($B22="","",IF($B22+1&gt;dropdown!$D$12,"",G23*I23*Rentekosten))</f>
        <v>0</v>
      </c>
      <c r="L23" s="58">
        <f t="shared" ca="1" si="6"/>
        <v>0</v>
      </c>
      <c r="M23" s="58">
        <f t="shared" ca="1" si="0"/>
        <v>0</v>
      </c>
      <c r="N23" s="57"/>
      <c r="O23" s="60">
        <f t="shared" si="1"/>
        <v>8.2916666666666677E-3</v>
      </c>
      <c r="P23" s="60">
        <f t="shared" si="2"/>
        <v>9.307827468440966E-3</v>
      </c>
      <c r="Q23" s="60">
        <f t="shared" ca="1" si="7"/>
        <v>0</v>
      </c>
      <c r="R23" s="57"/>
      <c r="S23" s="58">
        <f t="shared" ca="1" si="3"/>
        <v>0</v>
      </c>
      <c r="T23" s="58">
        <f t="shared" ca="1" si="4"/>
        <v>0</v>
      </c>
      <c r="U23" s="61">
        <f t="shared" ca="1" si="8"/>
        <v>0</v>
      </c>
      <c r="V23" s="58">
        <f t="shared" ca="1" si="5"/>
        <v>0</v>
      </c>
      <c r="W23" s="57"/>
      <c r="X23" s="61"/>
      <c r="Y23" s="62"/>
    </row>
    <row r="24" spans="1:28" s="59" customFormat="1" x14ac:dyDescent="0.25">
      <c r="A24" s="53"/>
      <c r="B24" s="54">
        <f>IF($B23="","",IF($B23+1&gt;dropdown!$D$12,"",Schema!B23+1))</f>
        <v>15</v>
      </c>
      <c r="C24" s="55">
        <f ca="1">IF($B23="","",IF($B23+1&gt;dropdown!$D$12,"",EOMONTH(C23,0)+1))</f>
        <v>45689</v>
      </c>
      <c r="D24" s="53"/>
      <c r="E24" s="55">
        <f ca="1">IF($B23="","",IF($B23+1&gt;dropdown!$D$12,"",F23+1))</f>
        <v>45658</v>
      </c>
      <c r="F24" s="55">
        <f ca="1">IF($B23="","",IF($B23+1&gt;dropdown!$D$12,"",EOMONTH(E24,0)))</f>
        <v>45688</v>
      </c>
      <c r="G24" s="56">
        <f ca="1">IF($B23="","",IF($B23+1&gt;dropdown!$D$12,"",(_xlfn.DAYS(F24,E24)+1)/DAY(F24)))</f>
        <v>1</v>
      </c>
      <c r="H24" s="57"/>
      <c r="I24" s="58">
        <f ca="1">IF($B23="","",IF($B23+1&gt;dropdown!$D$12,"",I23-J23))</f>
        <v>0</v>
      </c>
      <c r="J24" s="58">
        <f ca="1">IF($B23="","",IF($B23+1&gt;dropdown!$D$12,"",IF(B23&lt;dropdown!$D$13,0,IF(Aflossingsmethode="Lineair",Aflossingsbedrag,IF(Aflossingsmethode="Annuïteit",IFERROR(Bedrag_annuïteit-K24,0),0)))))</f>
        <v>0</v>
      </c>
      <c r="K24" s="58">
        <f ca="1">IF($B23="","",IF($B23+1&gt;dropdown!$D$12,"",G24*I24*Rentekosten))</f>
        <v>0</v>
      </c>
      <c r="L24" s="58">
        <f t="shared" ca="1" si="6"/>
        <v>0</v>
      </c>
      <c r="M24" s="58">
        <f t="shared" ca="1" si="0"/>
        <v>0</v>
      </c>
      <c r="N24" s="57"/>
      <c r="O24" s="60">
        <f t="shared" si="1"/>
        <v>8.2916666666666677E-3</v>
      </c>
      <c r="P24" s="60">
        <f t="shared" si="2"/>
        <v>9.3850048712001231E-3</v>
      </c>
      <c r="Q24" s="60">
        <f t="shared" ca="1" si="7"/>
        <v>0</v>
      </c>
      <c r="R24" s="57"/>
      <c r="S24" s="58">
        <f t="shared" ca="1" si="3"/>
        <v>0</v>
      </c>
      <c r="T24" s="58">
        <f t="shared" ca="1" si="4"/>
        <v>0</v>
      </c>
      <c r="U24" s="61">
        <f t="shared" ca="1" si="8"/>
        <v>0</v>
      </c>
      <c r="V24" s="58">
        <f t="shared" ca="1" si="5"/>
        <v>0</v>
      </c>
      <c r="W24" s="57"/>
      <c r="X24" s="61"/>
      <c r="Y24" s="64"/>
    </row>
    <row r="25" spans="1:28" s="59" customFormat="1" x14ac:dyDescent="0.25">
      <c r="A25" s="53"/>
      <c r="B25" s="54">
        <f>IF($B24="","",IF($B24+1&gt;dropdown!$D$12,"",Schema!B24+1))</f>
        <v>16</v>
      </c>
      <c r="C25" s="55">
        <f ca="1">IF($B24="","",IF($B24+1&gt;dropdown!$D$12,"",EOMONTH(C24,0)+1))</f>
        <v>45717</v>
      </c>
      <c r="D25" s="53"/>
      <c r="E25" s="55">
        <f ca="1">IF($B24="","",IF($B24+1&gt;dropdown!$D$12,"",F24+1))</f>
        <v>45689</v>
      </c>
      <c r="F25" s="55">
        <f ca="1">IF($B24="","",IF($B24+1&gt;dropdown!$D$12,"",EOMONTH(E25,0)))</f>
        <v>45716</v>
      </c>
      <c r="G25" s="56">
        <f ca="1">IF($B24="","",IF($B24+1&gt;dropdown!$D$12,"",(_xlfn.DAYS(F25,E25)+1)/DAY(F25)))</f>
        <v>1</v>
      </c>
      <c r="H25" s="57"/>
      <c r="I25" s="58">
        <f ca="1">IF($B24="","",IF($B24+1&gt;dropdown!$D$12,"",I24-J24))</f>
        <v>0</v>
      </c>
      <c r="J25" s="58">
        <f ca="1">IF($B24="","",IF($B24+1&gt;dropdown!$D$12,"",IF(B24&lt;dropdown!$D$13,0,IF(Aflossingsmethode="Lineair",Aflossingsbedrag,IF(Aflossingsmethode="Annuïteit",IFERROR(Bedrag_annuïteit-K25,0),0)))))</f>
        <v>0</v>
      </c>
      <c r="K25" s="58">
        <f ca="1">IF($B24="","",IF($B24+1&gt;dropdown!$D$12,"",G25*I25*Rentekosten))</f>
        <v>0</v>
      </c>
      <c r="L25" s="58">
        <f t="shared" ca="1" si="6"/>
        <v>0</v>
      </c>
      <c r="M25" s="58">
        <f t="shared" ca="1" si="0"/>
        <v>0</v>
      </c>
      <c r="N25" s="57"/>
      <c r="O25" s="60">
        <f t="shared" si="1"/>
        <v>8.2916666666666677E-3</v>
      </c>
      <c r="P25" s="60">
        <f t="shared" si="2"/>
        <v>9.4628222032571568E-3</v>
      </c>
      <c r="Q25" s="60">
        <f t="shared" ca="1" si="7"/>
        <v>0</v>
      </c>
      <c r="R25" s="57"/>
      <c r="S25" s="58">
        <f t="shared" ca="1" si="3"/>
        <v>0</v>
      </c>
      <c r="T25" s="58">
        <f t="shared" ca="1" si="4"/>
        <v>0</v>
      </c>
      <c r="U25" s="61">
        <f t="shared" ca="1" si="8"/>
        <v>0</v>
      </c>
      <c r="V25" s="58">
        <f t="shared" ca="1" si="5"/>
        <v>0</v>
      </c>
      <c r="W25" s="57"/>
      <c r="X25" s="61"/>
      <c r="Y25" s="62"/>
    </row>
    <row r="26" spans="1:28" s="59" customFormat="1" x14ac:dyDescent="0.25">
      <c r="A26" s="53"/>
      <c r="B26" s="54">
        <f>IF($B25="","",IF($B25+1&gt;dropdown!$D$12,"",Schema!B25+1))</f>
        <v>17</v>
      </c>
      <c r="C26" s="55">
        <f ca="1">IF($B25="","",IF($B25+1&gt;dropdown!$D$12,"",EOMONTH(C25,0)+1))</f>
        <v>45748</v>
      </c>
      <c r="D26" s="53"/>
      <c r="E26" s="55">
        <f ca="1">IF($B25="","",IF($B25+1&gt;dropdown!$D$12,"",F25+1))</f>
        <v>45717</v>
      </c>
      <c r="F26" s="55">
        <f ca="1">IF($B25="","",IF($B25+1&gt;dropdown!$D$12,"",EOMONTH(E26,0)))</f>
        <v>45747</v>
      </c>
      <c r="G26" s="56">
        <f ca="1">IF($B25="","",IF($B25+1&gt;dropdown!$D$12,"",(_xlfn.DAYS(F26,E26)+1)/DAY(F26)))</f>
        <v>1</v>
      </c>
      <c r="H26" s="57"/>
      <c r="I26" s="58">
        <f ca="1">IF($B25="","",IF($B25+1&gt;dropdown!$D$12,"",I25-J25))</f>
        <v>0</v>
      </c>
      <c r="J26" s="58">
        <f ca="1">IF($B25="","",IF($B25+1&gt;dropdown!$D$12,"",IF(B25&lt;dropdown!$D$13,0,IF(Aflossingsmethode="Lineair",Aflossingsbedrag,IF(Aflossingsmethode="Annuïteit",IFERROR(Bedrag_annuïteit-K26,0),0)))))</f>
        <v>0</v>
      </c>
      <c r="K26" s="58">
        <f ca="1">IF($B25="","",IF($B25+1&gt;dropdown!$D$12,"",G26*I26*Rentekosten))</f>
        <v>0</v>
      </c>
      <c r="L26" s="58">
        <f t="shared" ca="1" si="6"/>
        <v>0</v>
      </c>
      <c r="M26" s="58">
        <f t="shared" ca="1" si="0"/>
        <v>0</v>
      </c>
      <c r="N26" s="57"/>
      <c r="O26" s="60">
        <f t="shared" si="1"/>
        <v>8.2916666666666677E-3</v>
      </c>
      <c r="P26" s="60">
        <f t="shared" si="2"/>
        <v>9.5412847706924982E-3</v>
      </c>
      <c r="Q26" s="60">
        <f t="shared" ca="1" si="7"/>
        <v>0</v>
      </c>
      <c r="R26" s="57"/>
      <c r="S26" s="58">
        <f t="shared" ca="1" si="3"/>
        <v>0</v>
      </c>
      <c r="T26" s="58">
        <f t="shared" ca="1" si="4"/>
        <v>0</v>
      </c>
      <c r="U26" s="61">
        <f t="shared" ca="1" si="8"/>
        <v>0</v>
      </c>
      <c r="V26" s="58">
        <f t="shared" ca="1" si="5"/>
        <v>0</v>
      </c>
      <c r="W26" s="57"/>
      <c r="X26" s="61"/>
      <c r="Y26" s="62"/>
    </row>
    <row r="27" spans="1:28" s="59" customFormat="1" x14ac:dyDescent="0.25">
      <c r="A27" s="53"/>
      <c r="B27" s="54">
        <f>IF($B26="","",IF($B26+1&gt;dropdown!$D$12,"",Schema!B26+1))</f>
        <v>18</v>
      </c>
      <c r="C27" s="55">
        <f ca="1">IF($B26="","",IF($B26+1&gt;dropdown!$D$12,"",EOMONTH(C26,0)+1))</f>
        <v>45778</v>
      </c>
      <c r="D27" s="53"/>
      <c r="E27" s="55">
        <f ca="1">IF($B26="","",IF($B26+1&gt;dropdown!$D$12,"",F26+1))</f>
        <v>45748</v>
      </c>
      <c r="F27" s="55">
        <f ca="1">IF($B26="","",IF($B26+1&gt;dropdown!$D$12,"",EOMONTH(E27,0)))</f>
        <v>45777</v>
      </c>
      <c r="G27" s="56">
        <f ca="1">IF($B26="","",IF($B26+1&gt;dropdown!$D$12,"",(_xlfn.DAYS(F27,E27)+1)/DAY(F27)))</f>
        <v>1</v>
      </c>
      <c r="H27" s="57"/>
      <c r="I27" s="58">
        <f ca="1">IF($B26="","",IF($B26+1&gt;dropdown!$D$12,"",I26-J26))</f>
        <v>0</v>
      </c>
      <c r="J27" s="58">
        <f ca="1">IF($B26="","",IF($B26+1&gt;dropdown!$D$12,"",IF(B26&lt;dropdown!$D$13,0,IF(Aflossingsmethode="Lineair",Aflossingsbedrag,IF(Aflossingsmethode="Annuïteit",IFERROR(Bedrag_annuïteit-K27,0),0)))))</f>
        <v>0</v>
      </c>
      <c r="K27" s="58">
        <f ca="1">IF($B26="","",IF($B26+1&gt;dropdown!$D$12,"",G27*I27*Rentekosten))</f>
        <v>0</v>
      </c>
      <c r="L27" s="58">
        <f t="shared" ca="1" si="6"/>
        <v>0</v>
      </c>
      <c r="M27" s="58">
        <f t="shared" ca="1" si="0"/>
        <v>0</v>
      </c>
      <c r="N27" s="57"/>
      <c r="O27" s="60">
        <f t="shared" si="1"/>
        <v>8.2916666666666677E-3</v>
      </c>
      <c r="P27" s="60">
        <f t="shared" si="2"/>
        <v>9.6203979235828223E-3</v>
      </c>
      <c r="Q27" s="60">
        <f t="shared" ca="1" si="7"/>
        <v>0</v>
      </c>
      <c r="R27" s="57"/>
      <c r="S27" s="58">
        <f t="shared" ca="1" si="3"/>
        <v>0</v>
      </c>
      <c r="T27" s="58">
        <f t="shared" ca="1" si="4"/>
        <v>0</v>
      </c>
      <c r="U27" s="61">
        <f t="shared" ca="1" si="8"/>
        <v>0</v>
      </c>
      <c r="V27" s="58">
        <f t="shared" ca="1" si="5"/>
        <v>0</v>
      </c>
      <c r="W27" s="57"/>
      <c r="X27" s="61"/>
      <c r="Y27" s="65"/>
      <c r="Z27" s="65"/>
      <c r="AA27" s="65"/>
      <c r="AB27" s="65"/>
    </row>
    <row r="28" spans="1:28" s="59" customFormat="1" x14ac:dyDescent="0.25">
      <c r="A28" s="53"/>
      <c r="B28" s="54">
        <f>IF($B27="","",IF($B27+1&gt;dropdown!$D$12,"",Schema!B27+1))</f>
        <v>19</v>
      </c>
      <c r="C28" s="55">
        <f ca="1">IF($B27="","",IF($B27+1&gt;dropdown!$D$12,"",EOMONTH(C27,0)+1))</f>
        <v>45809</v>
      </c>
      <c r="D28" s="53"/>
      <c r="E28" s="55">
        <f ca="1">IF($B27="","",IF($B27+1&gt;dropdown!$D$12,"",F27+1))</f>
        <v>45778</v>
      </c>
      <c r="F28" s="55">
        <f ca="1">IF($B27="","",IF($B27+1&gt;dropdown!$D$12,"",EOMONTH(E28,0)))</f>
        <v>45808</v>
      </c>
      <c r="G28" s="56">
        <f ca="1">IF($B27="","",IF($B27+1&gt;dropdown!$D$12,"",(_xlfn.DAYS(F28,E28)+1)/DAY(F28)))</f>
        <v>1</v>
      </c>
      <c r="H28" s="57"/>
      <c r="I28" s="58">
        <f ca="1">IF($B27="","",IF($B27+1&gt;dropdown!$D$12,"",I27-J27))</f>
        <v>0</v>
      </c>
      <c r="J28" s="58">
        <f ca="1">IF($B27="","",IF($B27+1&gt;dropdown!$D$12,"",IF(B27&lt;dropdown!$D$13,0,IF(Aflossingsmethode="Lineair",Aflossingsbedrag,IF(Aflossingsmethode="Annuïteit",IFERROR(Bedrag_annuïteit-K28,0),0)))))</f>
        <v>0</v>
      </c>
      <c r="K28" s="58">
        <f ca="1">IF($B27="","",IF($B27+1&gt;dropdown!$D$12,"",G28*I28*Rentekosten))</f>
        <v>0</v>
      </c>
      <c r="L28" s="58">
        <f t="shared" ca="1" si="6"/>
        <v>0</v>
      </c>
      <c r="M28" s="58">
        <f t="shared" ca="1" si="0"/>
        <v>0</v>
      </c>
      <c r="N28" s="57"/>
      <c r="O28" s="60">
        <f t="shared" si="1"/>
        <v>8.2916666666666677E-3</v>
      </c>
      <c r="P28" s="60">
        <f t="shared" si="2"/>
        <v>9.7001670563658625E-3</v>
      </c>
      <c r="Q28" s="60">
        <f t="shared" ca="1" si="7"/>
        <v>0</v>
      </c>
      <c r="R28" s="57"/>
      <c r="S28" s="58">
        <f t="shared" ca="1" si="3"/>
        <v>0</v>
      </c>
      <c r="T28" s="58">
        <f t="shared" ca="1" si="4"/>
        <v>0</v>
      </c>
      <c r="U28" s="61">
        <f t="shared" ca="1" si="8"/>
        <v>0</v>
      </c>
      <c r="V28" s="58">
        <f t="shared" ca="1" si="5"/>
        <v>0</v>
      </c>
      <c r="W28" s="57"/>
      <c r="X28" s="61"/>
      <c r="Y28" s="65"/>
      <c r="Z28" s="65"/>
      <c r="AA28" s="65"/>
      <c r="AB28" s="65"/>
    </row>
    <row r="29" spans="1:28" s="59" customFormat="1" x14ac:dyDescent="0.25">
      <c r="A29" s="53"/>
      <c r="B29" s="54">
        <f>IF($B28="","",IF($B28+1&gt;dropdown!$D$12,"",Schema!B28+1))</f>
        <v>20</v>
      </c>
      <c r="C29" s="55">
        <f ca="1">IF($B28="","",IF($B28+1&gt;dropdown!$D$12,"",EOMONTH(C28,0)+1))</f>
        <v>45839</v>
      </c>
      <c r="D29" s="53"/>
      <c r="E29" s="55">
        <f ca="1">IF($B28="","",IF($B28+1&gt;dropdown!$D$12,"",F28+1))</f>
        <v>45809</v>
      </c>
      <c r="F29" s="55">
        <f ca="1">IF($B28="","",IF($B28+1&gt;dropdown!$D$12,"",EOMONTH(E29,0)))</f>
        <v>45838</v>
      </c>
      <c r="G29" s="56">
        <f ca="1">IF($B28="","",IF($B28+1&gt;dropdown!$D$12,"",(_xlfn.DAYS(F29,E29)+1)/DAY(F29)))</f>
        <v>1</v>
      </c>
      <c r="H29" s="57"/>
      <c r="I29" s="58">
        <f ca="1">IF($B28="","",IF($B28+1&gt;dropdown!$D$12,"",I28-J28))</f>
        <v>0</v>
      </c>
      <c r="J29" s="58">
        <f ca="1">IF($B28="","",IF($B28+1&gt;dropdown!$D$12,"",IF(B28&lt;dropdown!$D$13,0,IF(Aflossingsmethode="Lineair",Aflossingsbedrag,IF(Aflossingsmethode="Annuïteit",IFERROR(Bedrag_annuïteit-K29,0),0)))))</f>
        <v>0</v>
      </c>
      <c r="K29" s="58">
        <f ca="1">IF($B28="","",IF($B28+1&gt;dropdown!$D$12,"",G29*I29*Rentekosten))</f>
        <v>0</v>
      </c>
      <c r="L29" s="58">
        <f t="shared" ca="1" si="6"/>
        <v>0</v>
      </c>
      <c r="M29" s="58">
        <f t="shared" ca="1" si="0"/>
        <v>0</v>
      </c>
      <c r="N29" s="57"/>
      <c r="O29" s="60">
        <f t="shared" si="1"/>
        <v>8.2916666666666677E-3</v>
      </c>
      <c r="P29" s="60">
        <f t="shared" si="2"/>
        <v>9.7805976082082288E-3</v>
      </c>
      <c r="Q29" s="60">
        <f t="shared" ca="1" si="7"/>
        <v>0</v>
      </c>
      <c r="R29" s="57"/>
      <c r="S29" s="58">
        <f t="shared" ca="1" si="3"/>
        <v>0</v>
      </c>
      <c r="T29" s="58">
        <f t="shared" ca="1" si="4"/>
        <v>0</v>
      </c>
      <c r="U29" s="61">
        <f t="shared" ca="1" si="8"/>
        <v>0</v>
      </c>
      <c r="V29" s="58">
        <f t="shared" ca="1" si="5"/>
        <v>0</v>
      </c>
      <c r="W29" s="57"/>
      <c r="X29" s="61"/>
      <c r="Y29" s="65"/>
      <c r="Z29" s="65"/>
      <c r="AA29" s="65"/>
      <c r="AB29" s="65">
        <v>9.2244933777033133E-3</v>
      </c>
    </row>
    <row r="30" spans="1:28" s="59" customFormat="1" x14ac:dyDescent="0.25">
      <c r="A30" s="53"/>
      <c r="B30" s="54">
        <f>IF($B29="","",IF($B29+1&gt;dropdown!$D$12,"",Schema!B29+1))</f>
        <v>21</v>
      </c>
      <c r="C30" s="55">
        <f ca="1">IF($B29="","",IF($B29+1&gt;dropdown!$D$12,"",EOMONTH(C29,0)+1))</f>
        <v>45870</v>
      </c>
      <c r="D30" s="53"/>
      <c r="E30" s="55">
        <f ca="1">IF($B29="","",IF($B29+1&gt;dropdown!$D$12,"",F29+1))</f>
        <v>45839</v>
      </c>
      <c r="F30" s="55">
        <f ca="1">IF($B29="","",IF($B29+1&gt;dropdown!$D$12,"",EOMONTH(E30,0)))</f>
        <v>45869</v>
      </c>
      <c r="G30" s="56">
        <f ca="1">IF($B29="","",IF($B29+1&gt;dropdown!$D$12,"",(_xlfn.DAYS(F30,E30)+1)/DAY(F30)))</f>
        <v>1</v>
      </c>
      <c r="H30" s="57"/>
      <c r="I30" s="58">
        <f ca="1">IF($B29="","",IF($B29+1&gt;dropdown!$D$12,"",I29-J29))</f>
        <v>0</v>
      </c>
      <c r="J30" s="58">
        <f ca="1">IF($B29="","",IF($B29+1&gt;dropdown!$D$12,"",IF(B29&lt;dropdown!$D$13,0,IF(Aflossingsmethode="Lineair",Aflossingsbedrag,IF(Aflossingsmethode="Annuïteit",IFERROR(Bedrag_annuïteit-K30,0),0)))))</f>
        <v>0</v>
      </c>
      <c r="K30" s="58">
        <f ca="1">IF($B29="","",IF($B29+1&gt;dropdown!$D$12,"",G30*I30*Rentekosten))</f>
        <v>0</v>
      </c>
      <c r="L30" s="58">
        <f t="shared" ca="1" si="6"/>
        <v>0</v>
      </c>
      <c r="M30" s="58">
        <f t="shared" ca="1" si="0"/>
        <v>0</v>
      </c>
      <c r="N30" s="57"/>
      <c r="O30" s="60">
        <f t="shared" si="1"/>
        <v>8.2916666666666677E-3</v>
      </c>
      <c r="P30" s="60">
        <f t="shared" si="2"/>
        <v>9.861695063376287E-3</v>
      </c>
      <c r="Q30" s="60">
        <f t="shared" ca="1" si="7"/>
        <v>0</v>
      </c>
      <c r="R30" s="57"/>
      <c r="S30" s="58">
        <f t="shared" ca="1" si="3"/>
        <v>0</v>
      </c>
      <c r="T30" s="58">
        <f t="shared" ca="1" si="4"/>
        <v>0</v>
      </c>
      <c r="U30" s="61">
        <f t="shared" ca="1" si="8"/>
        <v>0</v>
      </c>
      <c r="V30" s="58">
        <f t="shared" ca="1" si="5"/>
        <v>0</v>
      </c>
      <c r="W30" s="57"/>
      <c r="X30" s="61"/>
      <c r="Y30" s="62"/>
    </row>
    <row r="31" spans="1:28" s="59" customFormat="1" x14ac:dyDescent="0.25">
      <c r="A31" s="53"/>
      <c r="B31" s="54">
        <f>IF($B30="","",IF($B30+1&gt;dropdown!$D$12,"",Schema!B30+1))</f>
        <v>22</v>
      </c>
      <c r="C31" s="55">
        <f ca="1">IF($B30="","",IF($B30+1&gt;dropdown!$D$12,"",EOMONTH(C30,0)+1))</f>
        <v>45901</v>
      </c>
      <c r="D31" s="53"/>
      <c r="E31" s="55">
        <f ca="1">IF($B30="","",IF($B30+1&gt;dropdown!$D$12,"",F30+1))</f>
        <v>45870</v>
      </c>
      <c r="F31" s="55">
        <f ca="1">IF($B30="","",IF($B30+1&gt;dropdown!$D$12,"",EOMONTH(E31,0)))</f>
        <v>45900</v>
      </c>
      <c r="G31" s="56">
        <f ca="1">IF($B30="","",IF($B30+1&gt;dropdown!$D$12,"",(_xlfn.DAYS(F31,E31)+1)/DAY(F31)))</f>
        <v>1</v>
      </c>
      <c r="H31" s="57"/>
      <c r="I31" s="58">
        <f ca="1">IF($B30="","",IF($B30+1&gt;dropdown!$D$12,"",I30-J30))</f>
        <v>0</v>
      </c>
      <c r="J31" s="58">
        <f ca="1">IF($B30="","",IF($B30+1&gt;dropdown!$D$12,"",IF(B30&lt;dropdown!$D$13,0,IF(Aflossingsmethode="Lineair",Aflossingsbedrag,IF(Aflossingsmethode="Annuïteit",IFERROR(Bedrag_annuïteit-K31,0),0)))))</f>
        <v>0</v>
      </c>
      <c r="K31" s="58">
        <f ca="1">IF($B30="","",IF($B30+1&gt;dropdown!$D$12,"",G31*I31*Rentekosten))</f>
        <v>0</v>
      </c>
      <c r="L31" s="58">
        <f t="shared" ca="1" si="6"/>
        <v>0</v>
      </c>
      <c r="M31" s="58">
        <f t="shared" ca="1" si="0"/>
        <v>0</v>
      </c>
      <c r="N31" s="57"/>
      <c r="O31" s="60">
        <f t="shared" si="1"/>
        <v>8.2916666666666677E-3</v>
      </c>
      <c r="P31" s="60">
        <f t="shared" si="2"/>
        <v>9.9434649516101162E-3</v>
      </c>
      <c r="Q31" s="60">
        <f t="shared" ca="1" si="7"/>
        <v>0</v>
      </c>
      <c r="R31" s="57"/>
      <c r="S31" s="58">
        <f t="shared" ca="1" si="3"/>
        <v>0</v>
      </c>
      <c r="T31" s="58">
        <f t="shared" ca="1" si="4"/>
        <v>0</v>
      </c>
      <c r="U31" s="61">
        <f t="shared" ca="1" si="8"/>
        <v>0</v>
      </c>
      <c r="V31" s="58">
        <f t="shared" ca="1" si="5"/>
        <v>0</v>
      </c>
      <c r="W31" s="57"/>
      <c r="X31" s="61"/>
      <c r="Y31" s="64"/>
    </row>
    <row r="32" spans="1:28" s="59" customFormat="1" x14ac:dyDescent="0.25">
      <c r="A32" s="53"/>
      <c r="B32" s="54">
        <f>IF($B31="","",IF($B31+1&gt;dropdown!$D$12,"",Schema!B31+1))</f>
        <v>23</v>
      </c>
      <c r="C32" s="55">
        <f ca="1">IF($B31="","",IF($B31+1&gt;dropdown!$D$12,"",EOMONTH(C31,0)+1))</f>
        <v>45931</v>
      </c>
      <c r="D32" s="53"/>
      <c r="E32" s="55">
        <f ca="1">IF($B31="","",IF($B31+1&gt;dropdown!$D$12,"",F31+1))</f>
        <v>45901</v>
      </c>
      <c r="F32" s="55">
        <f ca="1">IF($B31="","",IF($B31+1&gt;dropdown!$D$12,"",EOMONTH(E32,0)))</f>
        <v>45930</v>
      </c>
      <c r="G32" s="56">
        <f ca="1">IF($B31="","",IF($B31+1&gt;dropdown!$D$12,"",(_xlfn.DAYS(F32,E32)+1)/DAY(F32)))</f>
        <v>1</v>
      </c>
      <c r="H32" s="57"/>
      <c r="I32" s="58">
        <f ca="1">IF($B31="","",IF($B31+1&gt;dropdown!$D$12,"",I31-J31))</f>
        <v>0</v>
      </c>
      <c r="J32" s="58">
        <f ca="1">IF($B31="","",IF($B31+1&gt;dropdown!$D$12,"",IF(B31&lt;dropdown!$D$13,0,IF(Aflossingsmethode="Lineair",Aflossingsbedrag,IF(Aflossingsmethode="Annuïteit",IFERROR(Bedrag_annuïteit-K32,0),0)))))</f>
        <v>0</v>
      </c>
      <c r="K32" s="58">
        <f ca="1">IF($B31="","",IF($B31+1&gt;dropdown!$D$12,"",G32*I32*Rentekosten))</f>
        <v>0</v>
      </c>
      <c r="L32" s="58">
        <f t="shared" ca="1" si="6"/>
        <v>0</v>
      </c>
      <c r="M32" s="58">
        <f t="shared" ca="1" si="0"/>
        <v>0</v>
      </c>
      <c r="N32" s="57"/>
      <c r="O32" s="60">
        <f t="shared" si="1"/>
        <v>8.2916666666666677E-3</v>
      </c>
      <c r="P32" s="60">
        <f t="shared" si="2"/>
        <v>1.0025912848500549E-2</v>
      </c>
      <c r="Q32" s="60">
        <f t="shared" ca="1" si="7"/>
        <v>0</v>
      </c>
      <c r="R32" s="57"/>
      <c r="S32" s="58">
        <f t="shared" ca="1" si="3"/>
        <v>0</v>
      </c>
      <c r="T32" s="58">
        <f t="shared" ca="1" si="4"/>
        <v>0</v>
      </c>
      <c r="U32" s="61">
        <f t="shared" ca="1" si="8"/>
        <v>0</v>
      </c>
      <c r="V32" s="58">
        <f t="shared" ca="1" si="5"/>
        <v>0</v>
      </c>
      <c r="W32" s="57"/>
      <c r="X32" s="61"/>
      <c r="Y32" s="62"/>
    </row>
    <row r="33" spans="1:25" s="59" customFormat="1" x14ac:dyDescent="0.25">
      <c r="A33" s="53"/>
      <c r="B33" s="54">
        <f>IF($B32="","",IF($B32+1&gt;dropdown!$D$12,"",Schema!B32+1))</f>
        <v>24</v>
      </c>
      <c r="C33" s="55">
        <f ca="1">IF($B32="","",IF($B32+1&gt;dropdown!$D$12,"",EOMONTH(C32,0)+1))</f>
        <v>45962</v>
      </c>
      <c r="D33" s="53"/>
      <c r="E33" s="55">
        <f ca="1">IF($B32="","",IF($B32+1&gt;dropdown!$D$12,"",F32+1))</f>
        <v>45931</v>
      </c>
      <c r="F33" s="55">
        <f ca="1">IF($B32="","",IF($B32+1&gt;dropdown!$D$12,"",EOMONTH(E33,0)))</f>
        <v>45961</v>
      </c>
      <c r="G33" s="56">
        <f ca="1">IF($B32="","",IF($B32+1&gt;dropdown!$D$12,"",(_xlfn.DAYS(F33,E33)+1)/DAY(F33)))</f>
        <v>1</v>
      </c>
      <c r="H33" s="57"/>
      <c r="I33" s="58">
        <f ca="1">IF($B32="","",IF($B32+1&gt;dropdown!$D$12,"",I32-J32))</f>
        <v>0</v>
      </c>
      <c r="J33" s="58">
        <f ca="1">IF($B32="","",IF($B32+1&gt;dropdown!$D$12,"",IF(B32&lt;dropdown!$D$13,0,IF(Aflossingsmethode="Lineair",Aflossingsbedrag,IF(Aflossingsmethode="Annuïteit",IFERROR(Bedrag_annuïteit-K33,0),0)))))</f>
        <v>0</v>
      </c>
      <c r="K33" s="58">
        <f ca="1">IF($B32="","",IF($B32+1&gt;dropdown!$D$12,"",G33*I33*Rentekosten))</f>
        <v>0</v>
      </c>
      <c r="L33" s="58">
        <f t="shared" ca="1" si="6"/>
        <v>0</v>
      </c>
      <c r="M33" s="58">
        <f t="shared" ca="1" si="0"/>
        <v>0</v>
      </c>
      <c r="N33" s="57"/>
      <c r="O33" s="60">
        <f t="shared" si="1"/>
        <v>8.2916666666666677E-3</v>
      </c>
      <c r="P33" s="60">
        <f t="shared" si="2"/>
        <v>1.0109044375869366E-2</v>
      </c>
      <c r="Q33" s="60">
        <f t="shared" ca="1" si="7"/>
        <v>0</v>
      </c>
      <c r="R33" s="57"/>
      <c r="S33" s="58">
        <f t="shared" ca="1" si="3"/>
        <v>0</v>
      </c>
      <c r="T33" s="58">
        <f t="shared" ca="1" si="4"/>
        <v>0</v>
      </c>
      <c r="U33" s="61">
        <f t="shared" ca="1" si="8"/>
        <v>0</v>
      </c>
      <c r="V33" s="58">
        <f t="shared" ca="1" si="5"/>
        <v>0</v>
      </c>
      <c r="W33" s="57"/>
      <c r="X33" s="61"/>
      <c r="Y33" s="62"/>
    </row>
    <row r="34" spans="1:25" s="59" customFormat="1" x14ac:dyDescent="0.25">
      <c r="A34" s="53"/>
      <c r="B34" s="54">
        <f>IF($B33="","",IF($B33+1&gt;dropdown!$D$12,"",Schema!B33+1))</f>
        <v>25</v>
      </c>
      <c r="C34" s="55">
        <f ca="1">IF($B33="","",IF($B33+1&gt;dropdown!$D$12,"",EOMONTH(C33,0)+1))</f>
        <v>45992</v>
      </c>
      <c r="D34" s="53"/>
      <c r="E34" s="55">
        <f ca="1">IF($B33="","",IF($B33+1&gt;dropdown!$D$12,"",F33+1))</f>
        <v>45962</v>
      </c>
      <c r="F34" s="55">
        <f ca="1">IF($B33="","",IF($B33+1&gt;dropdown!$D$12,"",EOMONTH(E34,0)))</f>
        <v>45991</v>
      </c>
      <c r="G34" s="56">
        <f ca="1">IF($B33="","",IF($B33+1&gt;dropdown!$D$12,"",(_xlfn.DAYS(F34,E34)+1)/DAY(F34)))</f>
        <v>1</v>
      </c>
      <c r="H34" s="57"/>
      <c r="I34" s="58">
        <f ca="1">IF($B33="","",IF($B33+1&gt;dropdown!$D$12,"",I33-J33))</f>
        <v>0</v>
      </c>
      <c r="J34" s="58">
        <f ca="1">IF($B33="","",IF($B33+1&gt;dropdown!$D$12,"",IF(B33&lt;dropdown!$D$13,0,IF(Aflossingsmethode="Lineair",Aflossingsbedrag,IF(Aflossingsmethode="Annuïteit",IFERROR(Bedrag_annuïteit-K34,0),0)))))</f>
        <v>0</v>
      </c>
      <c r="K34" s="58">
        <f ca="1">IF($B33="","",IF($B33+1&gt;dropdown!$D$12,"",G34*I34*Rentekosten))</f>
        <v>0</v>
      </c>
      <c r="L34" s="58">
        <f t="shared" ca="1" si="6"/>
        <v>0</v>
      </c>
      <c r="M34" s="58">
        <f t="shared" ca="1" si="0"/>
        <v>0</v>
      </c>
      <c r="N34" s="57"/>
      <c r="O34" s="60">
        <f t="shared" si="1"/>
        <v>8.2916666666666677E-3</v>
      </c>
      <c r="P34" s="60">
        <f t="shared" si="2"/>
        <v>1.0192865202152615E-2</v>
      </c>
      <c r="Q34" s="60">
        <f t="shared" ca="1" si="7"/>
        <v>0</v>
      </c>
      <c r="R34" s="57"/>
      <c r="S34" s="58">
        <f t="shared" ca="1" si="3"/>
        <v>0</v>
      </c>
      <c r="T34" s="58">
        <f t="shared" ca="1" si="4"/>
        <v>0</v>
      </c>
      <c r="U34" s="61">
        <f t="shared" ca="1" si="8"/>
        <v>0</v>
      </c>
      <c r="V34" s="58">
        <f t="shared" ca="1" si="5"/>
        <v>0</v>
      </c>
      <c r="W34" s="57"/>
      <c r="X34" s="61"/>
      <c r="Y34" s="62"/>
    </row>
    <row r="35" spans="1:25" s="59" customFormat="1" x14ac:dyDescent="0.25">
      <c r="A35" s="53"/>
      <c r="B35" s="54">
        <f>IF($B34="","",IF($B34+1&gt;dropdown!$D$12,"",Schema!B34+1))</f>
        <v>26</v>
      </c>
      <c r="C35" s="55">
        <f ca="1">IF($B34="","",IF($B34+1&gt;dropdown!$D$12,"",EOMONTH(C34,0)+1))</f>
        <v>46023</v>
      </c>
      <c r="D35" s="53"/>
      <c r="E35" s="55">
        <f ca="1">IF($B34="","",IF($B34+1&gt;dropdown!$D$12,"",F34+1))</f>
        <v>45992</v>
      </c>
      <c r="F35" s="55">
        <f ca="1">IF($B34="","",IF($B34+1&gt;dropdown!$D$12,"",EOMONTH(E35,0)))</f>
        <v>46022</v>
      </c>
      <c r="G35" s="56">
        <f ca="1">IF($B34="","",IF($B34+1&gt;dropdown!$D$12,"",(_xlfn.DAYS(F35,E35)+1)/DAY(F35)))</f>
        <v>1</v>
      </c>
      <c r="H35" s="57"/>
      <c r="I35" s="58">
        <f ca="1">IF($B34="","",IF($B34+1&gt;dropdown!$D$12,"",I34-J34))</f>
        <v>0</v>
      </c>
      <c r="J35" s="58">
        <f ca="1">IF($B34="","",IF($B34+1&gt;dropdown!$D$12,"",IF(B34&lt;dropdown!$D$13,0,IF(Aflossingsmethode="Lineair",Aflossingsbedrag,IF(Aflossingsmethode="Annuïteit",IFERROR(Bedrag_annuïteit-K35,0),0)))))</f>
        <v>0</v>
      </c>
      <c r="K35" s="58">
        <f ca="1">IF($B34="","",IF($B34+1&gt;dropdown!$D$12,"",G35*I35*Rentekosten))</f>
        <v>0</v>
      </c>
      <c r="L35" s="58">
        <f t="shared" ca="1" si="6"/>
        <v>0</v>
      </c>
      <c r="M35" s="58">
        <f t="shared" ca="1" si="0"/>
        <v>0</v>
      </c>
      <c r="N35" s="57"/>
      <c r="O35" s="60">
        <f t="shared" si="1"/>
        <v>8.2916666666666677E-3</v>
      </c>
      <c r="P35" s="60">
        <f t="shared" si="2"/>
        <v>1.027738104278713E-2</v>
      </c>
      <c r="Q35" s="60">
        <f t="shared" ca="1" si="7"/>
        <v>0</v>
      </c>
      <c r="R35" s="57"/>
      <c r="S35" s="58">
        <f t="shared" ca="1" si="3"/>
        <v>0</v>
      </c>
      <c r="T35" s="58">
        <f t="shared" ca="1" si="4"/>
        <v>0</v>
      </c>
      <c r="U35" s="61">
        <f t="shared" ca="1" si="8"/>
        <v>0</v>
      </c>
      <c r="V35" s="58">
        <f t="shared" ca="1" si="5"/>
        <v>0</v>
      </c>
      <c r="W35" s="57"/>
      <c r="X35" s="61"/>
      <c r="Y35" s="62"/>
    </row>
    <row r="36" spans="1:25" s="59" customFormat="1" x14ac:dyDescent="0.25">
      <c r="A36" s="53"/>
      <c r="B36" s="54">
        <f>IF($B35="","",IF($B35+1&gt;dropdown!$D$12,"",Schema!B35+1))</f>
        <v>27</v>
      </c>
      <c r="C36" s="55">
        <f ca="1">IF($B35="","",IF($B35+1&gt;dropdown!$D$12,"",EOMONTH(C35,0)+1))</f>
        <v>46054</v>
      </c>
      <c r="D36" s="53"/>
      <c r="E36" s="55">
        <f ca="1">IF($B35="","",IF($B35+1&gt;dropdown!$D$12,"",F35+1))</f>
        <v>46023</v>
      </c>
      <c r="F36" s="55">
        <f ca="1">IF($B35="","",IF($B35+1&gt;dropdown!$D$12,"",EOMONTH(E36,0)))</f>
        <v>46053</v>
      </c>
      <c r="G36" s="56">
        <f ca="1">IF($B35="","",IF($B35+1&gt;dropdown!$D$12,"",(_xlfn.DAYS(F36,E36)+1)/DAY(F36)))</f>
        <v>1</v>
      </c>
      <c r="H36" s="57"/>
      <c r="I36" s="58">
        <f ca="1">IF($B35="","",IF($B35+1&gt;dropdown!$D$12,"",I35-J35))</f>
        <v>0</v>
      </c>
      <c r="J36" s="58">
        <f ca="1">IF($B35="","",IF($B35+1&gt;dropdown!$D$12,"",IF(B35&lt;dropdown!$D$13,0,IF(Aflossingsmethode="Lineair",Aflossingsbedrag,IF(Aflossingsmethode="Annuïteit",IFERROR(Bedrag_annuïteit-K36,0),0)))))</f>
        <v>0</v>
      </c>
      <c r="K36" s="58">
        <f ca="1">IF($B35="","",IF($B35+1&gt;dropdown!$D$12,"",G36*I36*Rentekosten))</f>
        <v>0</v>
      </c>
      <c r="L36" s="58">
        <f t="shared" ca="1" si="6"/>
        <v>0</v>
      </c>
      <c r="M36" s="58">
        <f t="shared" ca="1" si="0"/>
        <v>0</v>
      </c>
      <c r="N36" s="57"/>
      <c r="O36" s="60">
        <f t="shared" si="1"/>
        <v>8.2916666666666677E-3</v>
      </c>
      <c r="P36" s="60">
        <f t="shared" si="2"/>
        <v>1.0362597660600241E-2</v>
      </c>
      <c r="Q36" s="60">
        <f t="shared" ca="1" si="7"/>
        <v>0</v>
      </c>
      <c r="R36" s="57"/>
      <c r="S36" s="58">
        <f t="shared" ca="1" si="3"/>
        <v>0</v>
      </c>
      <c r="T36" s="58">
        <f t="shared" ca="1" si="4"/>
        <v>0</v>
      </c>
      <c r="U36" s="61">
        <f t="shared" ca="1" si="8"/>
        <v>0</v>
      </c>
      <c r="V36" s="58">
        <f t="shared" ca="1" si="5"/>
        <v>0</v>
      </c>
      <c r="W36" s="57"/>
      <c r="X36" s="61"/>
      <c r="Y36" s="62"/>
    </row>
    <row r="37" spans="1:25" s="59" customFormat="1" x14ac:dyDescent="0.25">
      <c r="A37" s="53"/>
      <c r="B37" s="54">
        <f>IF($B36="","",IF($B36+1&gt;dropdown!$D$12,"",Schema!B36+1))</f>
        <v>28</v>
      </c>
      <c r="C37" s="55">
        <f ca="1">IF($B36="","",IF($B36+1&gt;dropdown!$D$12,"",EOMONTH(C36,0)+1))</f>
        <v>46082</v>
      </c>
      <c r="D37" s="53"/>
      <c r="E37" s="55">
        <f ca="1">IF($B36="","",IF($B36+1&gt;dropdown!$D$12,"",F36+1))</f>
        <v>46054</v>
      </c>
      <c r="F37" s="55">
        <f ca="1">IF($B36="","",IF($B36+1&gt;dropdown!$D$12,"",EOMONTH(E37,0)))</f>
        <v>46081</v>
      </c>
      <c r="G37" s="56">
        <f ca="1">IF($B36="","",IF($B36+1&gt;dropdown!$D$12,"",(_xlfn.DAYS(F37,E37)+1)/DAY(F37)))</f>
        <v>1</v>
      </c>
      <c r="H37" s="57"/>
      <c r="I37" s="58">
        <f ca="1">IF($B36="","",IF($B36+1&gt;dropdown!$D$12,"",I36-J36))</f>
        <v>0</v>
      </c>
      <c r="J37" s="58">
        <f ca="1">IF($B36="","",IF($B36+1&gt;dropdown!$D$12,"",IF(B36&lt;dropdown!$D$13,0,IF(Aflossingsmethode="Lineair",Aflossingsbedrag,IF(Aflossingsmethode="Annuïteit",IFERROR(Bedrag_annuïteit-K37,0),0)))))</f>
        <v>0</v>
      </c>
      <c r="K37" s="58">
        <f ca="1">IF($B36="","",IF($B36+1&gt;dropdown!$D$12,"",G37*I37*Rentekosten))</f>
        <v>0</v>
      </c>
      <c r="L37" s="58">
        <f t="shared" ca="1" si="6"/>
        <v>0</v>
      </c>
      <c r="M37" s="58">
        <f t="shared" ca="1" si="0"/>
        <v>0</v>
      </c>
      <c r="N37" s="57"/>
      <c r="O37" s="60">
        <f t="shared" si="1"/>
        <v>8.2916666666666677E-3</v>
      </c>
      <c r="P37" s="60">
        <f t="shared" si="2"/>
        <v>1.0448520866202715E-2</v>
      </c>
      <c r="Q37" s="60">
        <f t="shared" ca="1" si="7"/>
        <v>0</v>
      </c>
      <c r="R37" s="57"/>
      <c r="S37" s="58">
        <f t="shared" ca="1" si="3"/>
        <v>0</v>
      </c>
      <c r="T37" s="58">
        <f t="shared" ca="1" si="4"/>
        <v>0</v>
      </c>
      <c r="U37" s="61">
        <f t="shared" ca="1" si="8"/>
        <v>0</v>
      </c>
      <c r="V37" s="58">
        <f t="shared" ca="1" si="5"/>
        <v>0</v>
      </c>
      <c r="W37" s="57"/>
      <c r="X37" s="61"/>
      <c r="Y37" s="62"/>
    </row>
    <row r="38" spans="1:25" s="59" customFormat="1" x14ac:dyDescent="0.25">
      <c r="A38" s="53"/>
      <c r="B38" s="54">
        <f>IF($B37="","",IF($B37+1&gt;dropdown!$D$12,"",Schema!B37+1))</f>
        <v>29</v>
      </c>
      <c r="C38" s="55">
        <f ca="1">IF($B37="","",IF($B37+1&gt;dropdown!$D$12,"",EOMONTH(C37,0)+1))</f>
        <v>46113</v>
      </c>
      <c r="D38" s="53"/>
      <c r="E38" s="55">
        <f ca="1">IF($B37="","",IF($B37+1&gt;dropdown!$D$12,"",F37+1))</f>
        <v>46082</v>
      </c>
      <c r="F38" s="55">
        <f ca="1">IF($B37="","",IF($B37+1&gt;dropdown!$D$12,"",EOMONTH(E38,0)))</f>
        <v>46112</v>
      </c>
      <c r="G38" s="56">
        <f ca="1">IF($B37="","",IF($B37+1&gt;dropdown!$D$12,"",(_xlfn.DAYS(F38,E38)+1)/DAY(F38)))</f>
        <v>1</v>
      </c>
      <c r="H38" s="57"/>
      <c r="I38" s="58">
        <f ca="1">IF($B37="","",IF($B37+1&gt;dropdown!$D$12,"",I37-J37))</f>
        <v>0</v>
      </c>
      <c r="J38" s="58">
        <f ca="1">IF($B37="","",IF($B37+1&gt;dropdown!$D$12,"",IF(B37&lt;dropdown!$D$13,0,IF(Aflossingsmethode="Lineair",Aflossingsbedrag,IF(Aflossingsmethode="Annuïteit",IFERROR(Bedrag_annuïteit-K38,0),0)))))</f>
        <v>0</v>
      </c>
      <c r="K38" s="58">
        <f ca="1">IF($B37="","",IF($B37+1&gt;dropdown!$D$12,"",G38*I38*Rentekosten))</f>
        <v>0</v>
      </c>
      <c r="L38" s="58">
        <f t="shared" ca="1" si="6"/>
        <v>0</v>
      </c>
      <c r="M38" s="58">
        <f t="shared" ca="1" si="0"/>
        <v>0</v>
      </c>
      <c r="N38" s="57"/>
      <c r="O38" s="60">
        <f t="shared" si="1"/>
        <v>8.2916666666666677E-3</v>
      </c>
      <c r="P38" s="60">
        <f t="shared" si="2"/>
        <v>1.0535156518384979E-2</v>
      </c>
      <c r="Q38" s="60">
        <f t="shared" ca="1" si="7"/>
        <v>0</v>
      </c>
      <c r="R38" s="57"/>
      <c r="S38" s="58">
        <f t="shared" ca="1" si="3"/>
        <v>0</v>
      </c>
      <c r="T38" s="58">
        <f t="shared" ca="1" si="4"/>
        <v>0</v>
      </c>
      <c r="U38" s="61">
        <f t="shared" ca="1" si="8"/>
        <v>0</v>
      </c>
      <c r="V38" s="58">
        <f t="shared" ca="1" si="5"/>
        <v>0</v>
      </c>
      <c r="W38" s="57"/>
      <c r="X38" s="61"/>
      <c r="Y38" s="62"/>
    </row>
    <row r="39" spans="1:25" s="59" customFormat="1" x14ac:dyDescent="0.25">
      <c r="A39" s="53"/>
      <c r="B39" s="54">
        <f>IF($B38="","",IF($B38+1&gt;dropdown!$D$12,"",Schema!B38+1))</f>
        <v>30</v>
      </c>
      <c r="C39" s="55">
        <f ca="1">IF($B38="","",IF($B38+1&gt;dropdown!$D$12,"",EOMONTH(C38,0)+1))</f>
        <v>46143</v>
      </c>
      <c r="D39" s="53"/>
      <c r="E39" s="55">
        <f ca="1">IF($B38="","",IF($B38+1&gt;dropdown!$D$12,"",F38+1))</f>
        <v>46113</v>
      </c>
      <c r="F39" s="55">
        <f ca="1">IF($B38="","",IF($B38+1&gt;dropdown!$D$12,"",EOMONTH(E39,0)))</f>
        <v>46142</v>
      </c>
      <c r="G39" s="56">
        <f ca="1">IF($B38="","",IF($B38+1&gt;dropdown!$D$12,"",(_xlfn.DAYS(F39,E39)+1)/DAY(F39)))</f>
        <v>1</v>
      </c>
      <c r="H39" s="57"/>
      <c r="I39" s="58">
        <f ca="1">IF($B38="","",IF($B38+1&gt;dropdown!$D$12,"",I38-J38))</f>
        <v>0</v>
      </c>
      <c r="J39" s="58">
        <f ca="1">IF($B38="","",IF($B38+1&gt;dropdown!$D$12,"",IF(B38&lt;dropdown!$D$13,0,IF(Aflossingsmethode="Lineair",Aflossingsbedrag,IF(Aflossingsmethode="Annuïteit",IFERROR(Bedrag_annuïteit-K39,0),0)))))</f>
        <v>0</v>
      </c>
      <c r="K39" s="58">
        <f ca="1">IF($B38="","",IF($B38+1&gt;dropdown!$D$12,"",G39*I39*Rentekosten))</f>
        <v>0</v>
      </c>
      <c r="L39" s="58">
        <f t="shared" ca="1" si="6"/>
        <v>0</v>
      </c>
      <c r="M39" s="58">
        <f t="shared" ca="1" si="0"/>
        <v>0</v>
      </c>
      <c r="N39" s="57"/>
      <c r="O39" s="60">
        <f t="shared" si="1"/>
        <v>8.2916666666666677E-3</v>
      </c>
      <c r="P39" s="60">
        <f t="shared" si="2"/>
        <v>1.0622510524516585E-2</v>
      </c>
      <c r="Q39" s="60">
        <f t="shared" ca="1" si="7"/>
        <v>0</v>
      </c>
      <c r="R39" s="57"/>
      <c r="S39" s="58">
        <f t="shared" ca="1" si="3"/>
        <v>0</v>
      </c>
      <c r="T39" s="58">
        <f t="shared" ca="1" si="4"/>
        <v>0</v>
      </c>
      <c r="U39" s="61">
        <f t="shared" ca="1" si="8"/>
        <v>0</v>
      </c>
      <c r="V39" s="58">
        <f t="shared" ca="1" si="5"/>
        <v>0</v>
      </c>
      <c r="W39" s="57"/>
      <c r="X39" s="61"/>
      <c r="Y39" s="62"/>
    </row>
    <row r="40" spans="1:25" s="59" customFormat="1" x14ac:dyDescent="0.25">
      <c r="A40" s="53"/>
      <c r="B40" s="54">
        <f>IF($B39="","",IF($B39+1&gt;dropdown!$D$12,"",Schema!B39+1))</f>
        <v>31</v>
      </c>
      <c r="C40" s="55">
        <f ca="1">IF($B39="","",IF($B39+1&gt;dropdown!$D$12,"",EOMONTH(C39,0)+1))</f>
        <v>46174</v>
      </c>
      <c r="D40" s="53"/>
      <c r="E40" s="55">
        <f ca="1">IF($B39="","",IF($B39+1&gt;dropdown!$D$12,"",F39+1))</f>
        <v>46143</v>
      </c>
      <c r="F40" s="55">
        <f ca="1">IF($B39="","",IF($B39+1&gt;dropdown!$D$12,"",EOMONTH(E40,0)))</f>
        <v>46173</v>
      </c>
      <c r="G40" s="56">
        <f ca="1">IF($B39="","",IF($B39+1&gt;dropdown!$D$12,"",(_xlfn.DAYS(F40,E40)+1)/DAY(F40)))</f>
        <v>1</v>
      </c>
      <c r="H40" s="57"/>
      <c r="I40" s="58">
        <f ca="1">IF($B39="","",IF($B39+1&gt;dropdown!$D$12,"",I39-J39))</f>
        <v>0</v>
      </c>
      <c r="J40" s="58">
        <f ca="1">IF($B39="","",IF($B39+1&gt;dropdown!$D$12,"",IF(B39&lt;dropdown!$D$13,0,IF(Aflossingsmethode="Lineair",Aflossingsbedrag,IF(Aflossingsmethode="Annuïteit",IFERROR(Bedrag_annuïteit-K40,0),0)))))</f>
        <v>0</v>
      </c>
      <c r="K40" s="58">
        <f ca="1">IF($B39="","",IF($B39+1&gt;dropdown!$D$12,"",G40*I40*Rentekosten))</f>
        <v>0</v>
      </c>
      <c r="L40" s="58">
        <f t="shared" ca="1" si="6"/>
        <v>0</v>
      </c>
      <c r="M40" s="58">
        <f t="shared" ca="1" si="0"/>
        <v>0</v>
      </c>
      <c r="N40" s="57"/>
      <c r="O40" s="60">
        <f t="shared" si="1"/>
        <v>8.2916666666666677E-3</v>
      </c>
      <c r="P40" s="60">
        <f t="shared" si="2"/>
        <v>1.0710588840949038E-2</v>
      </c>
      <c r="Q40" s="60">
        <f t="shared" ca="1" si="7"/>
        <v>0</v>
      </c>
      <c r="R40" s="57"/>
      <c r="S40" s="58">
        <f t="shared" ca="1" si="3"/>
        <v>0</v>
      </c>
      <c r="T40" s="58">
        <f t="shared" ca="1" si="4"/>
        <v>0</v>
      </c>
      <c r="U40" s="61">
        <f t="shared" ca="1" si="8"/>
        <v>0</v>
      </c>
      <c r="V40" s="58">
        <f t="shared" ca="1" si="5"/>
        <v>0</v>
      </c>
      <c r="W40" s="57"/>
      <c r="X40" s="61"/>
      <c r="Y40" s="62"/>
    </row>
    <row r="41" spans="1:25" s="59" customFormat="1" x14ac:dyDescent="0.25">
      <c r="A41" s="53"/>
      <c r="B41" s="54">
        <f>IF($B40="","",IF($B40+1&gt;dropdown!$D$12,"",Schema!B40+1))</f>
        <v>32</v>
      </c>
      <c r="C41" s="55">
        <f ca="1">IF($B40="","",IF($B40+1&gt;dropdown!$D$12,"",EOMONTH(C40,0)+1))</f>
        <v>46204</v>
      </c>
      <c r="D41" s="53"/>
      <c r="E41" s="55">
        <f ca="1">IF($B40="","",IF($B40+1&gt;dropdown!$D$12,"",F40+1))</f>
        <v>46174</v>
      </c>
      <c r="F41" s="55">
        <f ca="1">IF($B40="","",IF($B40+1&gt;dropdown!$D$12,"",EOMONTH(E41,0)))</f>
        <v>46203</v>
      </c>
      <c r="G41" s="56">
        <f ca="1">IF($B40="","",IF($B40+1&gt;dropdown!$D$12,"",(_xlfn.DAYS(F41,E41)+1)/DAY(F41)))</f>
        <v>1</v>
      </c>
      <c r="H41" s="57"/>
      <c r="I41" s="58">
        <f ca="1">IF($B40="","",IF($B40+1&gt;dropdown!$D$12,"",I40-J40))</f>
        <v>0</v>
      </c>
      <c r="J41" s="58">
        <f ca="1">IF($B40="","",IF($B40+1&gt;dropdown!$D$12,"",IF(B40&lt;dropdown!$D$13,0,IF(Aflossingsmethode="Lineair",Aflossingsbedrag,IF(Aflossingsmethode="Annuïteit",IFERROR(Bedrag_annuïteit-K41,0),0)))))</f>
        <v>0</v>
      </c>
      <c r="K41" s="58">
        <f ca="1">IF($B40="","",IF($B40+1&gt;dropdown!$D$12,"",G41*I41*Rentekosten))</f>
        <v>0</v>
      </c>
      <c r="L41" s="58">
        <f t="shared" ca="1" si="6"/>
        <v>0</v>
      </c>
      <c r="M41" s="58">
        <f t="shared" ca="1" si="0"/>
        <v>0</v>
      </c>
      <c r="N41" s="57"/>
      <c r="O41" s="60">
        <f t="shared" si="1"/>
        <v>8.2916666666666677E-3</v>
      </c>
      <c r="P41" s="60">
        <f t="shared" si="2"/>
        <v>1.0799397473421905E-2</v>
      </c>
      <c r="Q41" s="60">
        <f t="shared" ca="1" si="7"/>
        <v>0</v>
      </c>
      <c r="R41" s="57"/>
      <c r="S41" s="58">
        <f t="shared" ca="1" si="3"/>
        <v>0</v>
      </c>
      <c r="T41" s="58">
        <f t="shared" ca="1" si="4"/>
        <v>0</v>
      </c>
      <c r="U41" s="61">
        <f t="shared" ca="1" si="8"/>
        <v>0</v>
      </c>
      <c r="V41" s="58">
        <f t="shared" ca="1" si="5"/>
        <v>0</v>
      </c>
      <c r="W41" s="57"/>
      <c r="X41" s="61"/>
      <c r="Y41" s="62"/>
    </row>
    <row r="42" spans="1:25" s="59" customFormat="1" x14ac:dyDescent="0.25">
      <c r="A42" s="53"/>
      <c r="B42" s="54">
        <f>IF($B41="","",IF($B41+1&gt;dropdown!$D$12,"",Schema!B41+1))</f>
        <v>33</v>
      </c>
      <c r="C42" s="55">
        <f ca="1">IF($B41="","",IF($B41+1&gt;dropdown!$D$12,"",EOMONTH(C41,0)+1))</f>
        <v>46235</v>
      </c>
      <c r="D42" s="53"/>
      <c r="E42" s="55">
        <f ca="1">IF($B41="","",IF($B41+1&gt;dropdown!$D$12,"",F41+1))</f>
        <v>46204</v>
      </c>
      <c r="F42" s="55">
        <f ca="1">IF($B41="","",IF($B41+1&gt;dropdown!$D$12,"",EOMONTH(E42,0)))</f>
        <v>46234</v>
      </c>
      <c r="G42" s="56">
        <f ca="1">IF($B41="","",IF($B41+1&gt;dropdown!$D$12,"",(_xlfn.DAYS(F42,E42)+1)/DAY(F42)))</f>
        <v>1</v>
      </c>
      <c r="H42" s="57"/>
      <c r="I42" s="58">
        <f ca="1">IF($B41="","",IF($B41+1&gt;dropdown!$D$12,"",I41-J41))</f>
        <v>0</v>
      </c>
      <c r="J42" s="58">
        <f ca="1">IF($B41="","",IF($B41+1&gt;dropdown!$D$12,"",IF(B41&lt;dropdown!$D$13,0,IF(Aflossingsmethode="Lineair",Aflossingsbedrag,IF(Aflossingsmethode="Annuïteit",IFERROR(Bedrag_annuïteit-K42,0),0)))))</f>
        <v>0</v>
      </c>
      <c r="K42" s="58">
        <f ca="1">IF($B41="","",IF($B41+1&gt;dropdown!$D$12,"",G42*I42*Rentekosten))</f>
        <v>0</v>
      </c>
      <c r="L42" s="58">
        <f t="shared" ca="1" si="6"/>
        <v>0</v>
      </c>
      <c r="M42" s="58">
        <f t="shared" ca="1" si="0"/>
        <v>0</v>
      </c>
      <c r="N42" s="57"/>
      <c r="O42" s="60">
        <f t="shared" si="1"/>
        <v>8.2916666666666677E-3</v>
      </c>
      <c r="P42" s="60">
        <f t="shared" si="2"/>
        <v>1.0888942477472361E-2</v>
      </c>
      <c r="Q42" s="60">
        <f t="shared" ca="1" si="7"/>
        <v>0</v>
      </c>
      <c r="R42" s="57"/>
      <c r="S42" s="58">
        <f t="shared" ca="1" si="3"/>
        <v>0</v>
      </c>
      <c r="T42" s="58">
        <f t="shared" ca="1" si="4"/>
        <v>0</v>
      </c>
      <c r="U42" s="61">
        <f t="shared" ca="1" si="8"/>
        <v>0</v>
      </c>
      <c r="V42" s="58">
        <f t="shared" ca="1" si="5"/>
        <v>0</v>
      </c>
      <c r="W42" s="57"/>
      <c r="X42" s="61"/>
      <c r="Y42" s="62"/>
    </row>
    <row r="43" spans="1:25" s="59" customFormat="1" x14ac:dyDescent="0.25">
      <c r="A43" s="53"/>
      <c r="B43" s="54">
        <f>IF($B42="","",IF($B42+1&gt;dropdown!$D$12,"",Schema!B42+1))</f>
        <v>34</v>
      </c>
      <c r="C43" s="55">
        <f ca="1">IF($B42="","",IF($B42+1&gt;dropdown!$D$12,"",EOMONTH(C42,0)+1))</f>
        <v>46266</v>
      </c>
      <c r="D43" s="53"/>
      <c r="E43" s="55">
        <f ca="1">IF($B42="","",IF($B42+1&gt;dropdown!$D$12,"",F42+1))</f>
        <v>46235</v>
      </c>
      <c r="F43" s="55">
        <f ca="1">IF($B42="","",IF($B42+1&gt;dropdown!$D$12,"",EOMONTH(E43,0)))</f>
        <v>46265</v>
      </c>
      <c r="G43" s="56">
        <f ca="1">IF($B42="","",IF($B42+1&gt;dropdown!$D$12,"",(_xlfn.DAYS(F43,E43)+1)/DAY(F43)))</f>
        <v>1</v>
      </c>
      <c r="H43" s="57"/>
      <c r="I43" s="58">
        <f ca="1">IF($B42="","",IF($B42+1&gt;dropdown!$D$12,"",I42-J42))</f>
        <v>0</v>
      </c>
      <c r="J43" s="58">
        <f ca="1">IF($B42="","",IF($B42+1&gt;dropdown!$D$12,"",IF(B42&lt;dropdown!$D$13,0,IF(Aflossingsmethode="Lineair",Aflossingsbedrag,IF(Aflossingsmethode="Annuïteit",IFERROR(Bedrag_annuïteit-K43,0),0)))))</f>
        <v>0</v>
      </c>
      <c r="K43" s="58">
        <f ca="1">IF($B42="","",IF($B42+1&gt;dropdown!$D$12,"",G43*I43*Rentekosten))</f>
        <v>0</v>
      </c>
      <c r="L43" s="58">
        <f t="shared" ca="1" si="6"/>
        <v>0</v>
      </c>
      <c r="M43" s="58">
        <f t="shared" ca="1" si="0"/>
        <v>0</v>
      </c>
      <c r="N43" s="57"/>
      <c r="O43" s="60">
        <f t="shared" si="1"/>
        <v>8.2916666666666677E-3</v>
      </c>
      <c r="P43" s="60">
        <f t="shared" si="2"/>
        <v>1.0979229958848069E-2</v>
      </c>
      <c r="Q43" s="60">
        <f t="shared" ca="1" si="7"/>
        <v>0</v>
      </c>
      <c r="R43" s="57"/>
      <c r="S43" s="58">
        <f t="shared" ca="1" si="3"/>
        <v>0</v>
      </c>
      <c r="T43" s="58">
        <f t="shared" ca="1" si="4"/>
        <v>0</v>
      </c>
      <c r="U43" s="61">
        <f t="shared" ca="1" si="8"/>
        <v>0</v>
      </c>
      <c r="V43" s="58">
        <f t="shared" ca="1" si="5"/>
        <v>0</v>
      </c>
      <c r="W43" s="57"/>
      <c r="X43" s="61"/>
      <c r="Y43" s="62"/>
    </row>
    <row r="44" spans="1:25" s="59" customFormat="1" x14ac:dyDescent="0.25">
      <c r="A44" s="53"/>
      <c r="B44" s="54">
        <f>IF($B43="","",IF($B43+1&gt;dropdown!$D$12,"",Schema!B43+1))</f>
        <v>35</v>
      </c>
      <c r="C44" s="55">
        <f ca="1">IF($B43="","",IF($B43+1&gt;dropdown!$D$12,"",EOMONTH(C43,0)+1))</f>
        <v>46296</v>
      </c>
      <c r="D44" s="53"/>
      <c r="E44" s="55">
        <f ca="1">IF($B43="","",IF($B43+1&gt;dropdown!$D$12,"",F43+1))</f>
        <v>46266</v>
      </c>
      <c r="F44" s="55">
        <f ca="1">IF($B43="","",IF($B43+1&gt;dropdown!$D$12,"",EOMONTH(E44,0)))</f>
        <v>46295</v>
      </c>
      <c r="G44" s="56">
        <f ca="1">IF($B43="","",IF($B43+1&gt;dropdown!$D$12,"",(_xlfn.DAYS(F44,E44)+1)/DAY(F44)))</f>
        <v>1</v>
      </c>
      <c r="H44" s="57"/>
      <c r="I44" s="58">
        <f ca="1">IF($B43="","",IF($B43+1&gt;dropdown!$D$12,"",I43-J43))</f>
        <v>0</v>
      </c>
      <c r="J44" s="58">
        <f ca="1">IF($B43="","",IF($B43+1&gt;dropdown!$D$12,"",IF(B43&lt;dropdown!$D$13,0,IF(Aflossingsmethode="Lineair",Aflossingsbedrag,IF(Aflossingsmethode="Annuïteit",IFERROR(Bedrag_annuïteit-K44,0),0)))))</f>
        <v>0</v>
      </c>
      <c r="K44" s="58">
        <f ca="1">IF($B43="","",IF($B43+1&gt;dropdown!$D$12,"",G44*I44*Rentekosten))</f>
        <v>0</v>
      </c>
      <c r="L44" s="58">
        <f t="shared" ca="1" si="6"/>
        <v>0</v>
      </c>
      <c r="M44" s="58">
        <f t="shared" ca="1" si="0"/>
        <v>0</v>
      </c>
      <c r="N44" s="57"/>
      <c r="O44" s="60">
        <f t="shared" si="1"/>
        <v>8.2916666666666677E-3</v>
      </c>
      <c r="P44" s="60">
        <f t="shared" si="2"/>
        <v>1.1070266073923517E-2</v>
      </c>
      <c r="Q44" s="60">
        <f t="shared" ca="1" si="7"/>
        <v>0</v>
      </c>
      <c r="R44" s="57"/>
      <c r="S44" s="58">
        <f t="shared" ca="1" si="3"/>
        <v>0</v>
      </c>
      <c r="T44" s="58">
        <f t="shared" ca="1" si="4"/>
        <v>0</v>
      </c>
      <c r="U44" s="61">
        <f t="shared" ca="1" si="8"/>
        <v>0</v>
      </c>
      <c r="V44" s="58">
        <f t="shared" ca="1" si="5"/>
        <v>0</v>
      </c>
      <c r="W44" s="57"/>
      <c r="X44" s="61"/>
      <c r="Y44" s="62"/>
    </row>
    <row r="45" spans="1:25" s="59" customFormat="1" x14ac:dyDescent="0.25">
      <c r="A45" s="53"/>
      <c r="B45" s="54">
        <f>IF($B44="","",IF($B44+1&gt;dropdown!$D$12,"",Schema!B44+1))</f>
        <v>36</v>
      </c>
      <c r="C45" s="55">
        <f ca="1">IF($B44="","",IF($B44+1&gt;dropdown!$D$12,"",EOMONTH(C44,0)+1))</f>
        <v>46327</v>
      </c>
      <c r="D45" s="53"/>
      <c r="E45" s="55">
        <f ca="1">IF($B44="","",IF($B44+1&gt;dropdown!$D$12,"",F44+1))</f>
        <v>46296</v>
      </c>
      <c r="F45" s="55">
        <f ca="1">IF($B44="","",IF($B44+1&gt;dropdown!$D$12,"",EOMONTH(E45,0)))</f>
        <v>46326</v>
      </c>
      <c r="G45" s="56">
        <f ca="1">IF($B44="","",IF($B44+1&gt;dropdown!$D$12,"",(_xlfn.DAYS(F45,E45)+1)/DAY(F45)))</f>
        <v>1</v>
      </c>
      <c r="H45" s="57"/>
      <c r="I45" s="58">
        <f ca="1">IF($B44="","",IF($B44+1&gt;dropdown!$D$12,"",I44-J44))</f>
        <v>0</v>
      </c>
      <c r="J45" s="58">
        <f ca="1">IF($B44="","",IF($B44+1&gt;dropdown!$D$12,"",IF(B44&lt;dropdown!$D$13,0,IF(Aflossingsmethode="Lineair",Aflossingsbedrag,IF(Aflossingsmethode="Annuïteit",IFERROR(Bedrag_annuïteit-K45,0),0)))))</f>
        <v>0</v>
      </c>
      <c r="K45" s="58">
        <f ca="1">IF($B44="","",IF($B44+1&gt;dropdown!$D$12,"",G45*I45*Rentekosten))</f>
        <v>0</v>
      </c>
      <c r="L45" s="58">
        <f t="shared" ca="1" si="6"/>
        <v>0</v>
      </c>
      <c r="M45" s="58">
        <f t="shared" ca="1" si="0"/>
        <v>0</v>
      </c>
      <c r="N45" s="57"/>
      <c r="O45" s="60">
        <f t="shared" si="1"/>
        <v>8.2916666666666677E-3</v>
      </c>
      <c r="P45" s="60">
        <f t="shared" si="2"/>
        <v>1.1162057030119799E-2</v>
      </c>
      <c r="Q45" s="60">
        <f t="shared" ca="1" si="7"/>
        <v>0</v>
      </c>
      <c r="R45" s="57"/>
      <c r="S45" s="58">
        <f t="shared" ca="1" si="3"/>
        <v>0</v>
      </c>
      <c r="T45" s="58">
        <f t="shared" ca="1" si="4"/>
        <v>0</v>
      </c>
      <c r="U45" s="61">
        <f t="shared" ca="1" si="8"/>
        <v>0</v>
      </c>
      <c r="V45" s="58">
        <f t="shared" ca="1" si="5"/>
        <v>0</v>
      </c>
      <c r="W45" s="57"/>
      <c r="X45" s="61"/>
      <c r="Y45" s="62"/>
    </row>
    <row r="46" spans="1:25" s="59" customFormat="1" x14ac:dyDescent="0.25">
      <c r="A46" s="53"/>
      <c r="B46" s="54">
        <f>IF($B45="","",IF($B45+1&gt;dropdown!$D$12,"",Schema!B45+1))</f>
        <v>37</v>
      </c>
      <c r="C46" s="55">
        <f ca="1">IF($B45="","",IF($B45+1&gt;dropdown!$D$12,"",EOMONTH(C45,0)+1))</f>
        <v>46357</v>
      </c>
      <c r="D46" s="53"/>
      <c r="E46" s="55">
        <f ca="1">IF($B45="","",IF($B45+1&gt;dropdown!$D$12,"",F45+1))</f>
        <v>46327</v>
      </c>
      <c r="F46" s="55">
        <f ca="1">IF($B45="","",IF($B45+1&gt;dropdown!$D$12,"",EOMONTH(E46,0)))</f>
        <v>46356</v>
      </c>
      <c r="G46" s="56">
        <f ca="1">IF($B45="","",IF($B45+1&gt;dropdown!$D$12,"",(_xlfn.DAYS(F46,E46)+1)/DAY(F46)))</f>
        <v>1</v>
      </c>
      <c r="H46" s="57"/>
      <c r="I46" s="58">
        <f ca="1">IF($B45="","",IF($B45+1&gt;dropdown!$D$12,"",I45-J45))</f>
        <v>0</v>
      </c>
      <c r="J46" s="58">
        <f ca="1">IF($B45="","",IF($B45+1&gt;dropdown!$D$12,"",IF(B45&lt;dropdown!$D$13,0,IF(Aflossingsmethode="Lineair",Aflossingsbedrag,IF(Aflossingsmethode="Annuïteit",IFERROR(Bedrag_annuïteit-K46,0),0)))))</f>
        <v>0</v>
      </c>
      <c r="K46" s="58">
        <f ca="1">IF($B45="","",IF($B45+1&gt;dropdown!$D$12,"",G46*I46*Rentekosten))</f>
        <v>0</v>
      </c>
      <c r="L46" s="58">
        <f t="shared" ca="1" si="6"/>
        <v>0</v>
      </c>
      <c r="M46" s="58">
        <f t="shared" ca="1" si="0"/>
        <v>0</v>
      </c>
      <c r="N46" s="57"/>
      <c r="O46" s="60">
        <f t="shared" si="1"/>
        <v>8.2916666666666677E-3</v>
      </c>
      <c r="P46" s="60">
        <f t="shared" si="2"/>
        <v>1.1254609086327874E-2</v>
      </c>
      <c r="Q46" s="60">
        <f t="shared" ca="1" si="7"/>
        <v>0</v>
      </c>
      <c r="R46" s="57"/>
      <c r="S46" s="58">
        <f t="shared" ca="1" si="3"/>
        <v>0</v>
      </c>
      <c r="T46" s="58">
        <f t="shared" ca="1" si="4"/>
        <v>0</v>
      </c>
      <c r="U46" s="61">
        <f t="shared" ca="1" si="8"/>
        <v>0</v>
      </c>
      <c r="V46" s="58">
        <f t="shared" ca="1" si="5"/>
        <v>0</v>
      </c>
      <c r="W46" s="57"/>
      <c r="X46" s="61"/>
      <c r="Y46" s="62"/>
    </row>
    <row r="47" spans="1:25" s="59" customFormat="1" x14ac:dyDescent="0.25">
      <c r="A47" s="53"/>
      <c r="B47" s="54">
        <f>IF($B46="","",IF($B46+1&gt;dropdown!$D$12,"",Schema!B46+1))</f>
        <v>38</v>
      </c>
      <c r="C47" s="55">
        <f ca="1">IF($B46="","",IF($B46+1&gt;dropdown!$D$12,"",EOMONTH(C46,0)+1))</f>
        <v>46388</v>
      </c>
      <c r="D47" s="53"/>
      <c r="E47" s="55">
        <f ca="1">IF($B46="","",IF($B46+1&gt;dropdown!$D$12,"",F46+1))</f>
        <v>46357</v>
      </c>
      <c r="F47" s="55">
        <f ca="1">IF($B46="","",IF($B46+1&gt;dropdown!$D$12,"",EOMONTH(E47,0)))</f>
        <v>46387</v>
      </c>
      <c r="G47" s="56">
        <f ca="1">IF($B46="","",IF($B46+1&gt;dropdown!$D$12,"",(_xlfn.DAYS(F47,E47)+1)/DAY(F47)))</f>
        <v>1</v>
      </c>
      <c r="H47" s="57"/>
      <c r="I47" s="58">
        <f ca="1">IF($B46="","",IF($B46+1&gt;dropdown!$D$12,"",I46-J46))</f>
        <v>0</v>
      </c>
      <c r="J47" s="58">
        <f ca="1">IF($B46="","",IF($B46+1&gt;dropdown!$D$12,"",IF(B46&lt;dropdown!$D$13,0,IF(Aflossingsmethode="Lineair",Aflossingsbedrag,IF(Aflossingsmethode="Annuïteit",IFERROR(Bedrag_annuïteit-K47,0),0)))))</f>
        <v>0</v>
      </c>
      <c r="K47" s="58">
        <f ca="1">IF($B46="","",IF($B46+1&gt;dropdown!$D$12,"",G47*I47*Rentekosten))</f>
        <v>0</v>
      </c>
      <c r="L47" s="58">
        <f t="shared" ca="1" si="6"/>
        <v>0</v>
      </c>
      <c r="M47" s="58">
        <f t="shared" ca="1" si="0"/>
        <v>0</v>
      </c>
      <c r="N47" s="57"/>
      <c r="O47" s="60">
        <f t="shared" si="1"/>
        <v>8.2916666666666677E-3</v>
      </c>
      <c r="P47" s="60">
        <f t="shared" si="2"/>
        <v>1.1347928553335341E-2</v>
      </c>
      <c r="Q47" s="60">
        <f t="shared" ca="1" si="7"/>
        <v>0</v>
      </c>
      <c r="R47" s="57"/>
      <c r="S47" s="58">
        <f t="shared" ca="1" si="3"/>
        <v>0</v>
      </c>
      <c r="T47" s="58">
        <f t="shared" ca="1" si="4"/>
        <v>0</v>
      </c>
      <c r="U47" s="61">
        <f t="shared" ca="1" si="8"/>
        <v>0</v>
      </c>
      <c r="V47" s="58">
        <f t="shared" ca="1" si="5"/>
        <v>0</v>
      </c>
      <c r="W47" s="57"/>
      <c r="X47" s="61"/>
      <c r="Y47" s="62"/>
    </row>
    <row r="48" spans="1:25" s="59" customFormat="1" x14ac:dyDescent="0.25">
      <c r="A48" s="53"/>
      <c r="B48" s="54">
        <f>IF($B47="","",IF($B47+1&gt;dropdown!$D$12,"",Schema!B47+1))</f>
        <v>39</v>
      </c>
      <c r="C48" s="55">
        <f ca="1">IF($B47="","",IF($B47+1&gt;dropdown!$D$12,"",EOMONTH(C47,0)+1))</f>
        <v>46419</v>
      </c>
      <c r="D48" s="53"/>
      <c r="E48" s="55">
        <f ca="1">IF($B47="","",IF($B47+1&gt;dropdown!$D$12,"",F47+1))</f>
        <v>46388</v>
      </c>
      <c r="F48" s="55">
        <f ca="1">IF($B47="","",IF($B47+1&gt;dropdown!$D$12,"",EOMONTH(E48,0)))</f>
        <v>46418</v>
      </c>
      <c r="G48" s="56">
        <f ca="1">IF($B47="","",IF($B47+1&gt;dropdown!$D$12,"",(_xlfn.DAYS(F48,E48)+1)/DAY(F48)))</f>
        <v>1</v>
      </c>
      <c r="H48" s="57"/>
      <c r="I48" s="58">
        <f ca="1">IF($B47="","",IF($B47+1&gt;dropdown!$D$12,"",I47-J47))</f>
        <v>0</v>
      </c>
      <c r="J48" s="58">
        <f ca="1">IF($B47="","",IF($B47+1&gt;dropdown!$D$12,"",IF(B47&lt;dropdown!$D$13,0,IF(Aflossingsmethode="Lineair",Aflossingsbedrag,IF(Aflossingsmethode="Annuïteit",IFERROR(Bedrag_annuïteit-K48,0),0)))))</f>
        <v>0</v>
      </c>
      <c r="K48" s="58">
        <f ca="1">IF($B47="","",IF($B47+1&gt;dropdown!$D$12,"",G48*I48*Rentekosten))</f>
        <v>0</v>
      </c>
      <c r="L48" s="58">
        <f t="shared" ca="1" si="6"/>
        <v>0</v>
      </c>
      <c r="M48" s="58">
        <f t="shared" ca="1" si="0"/>
        <v>0</v>
      </c>
      <c r="N48" s="57"/>
      <c r="O48" s="60">
        <f t="shared" si="1"/>
        <v>8.2916666666666677E-3</v>
      </c>
      <c r="P48" s="60">
        <f t="shared" si="2"/>
        <v>1.1442021794256746E-2</v>
      </c>
      <c r="Q48" s="60">
        <f t="shared" ca="1" si="7"/>
        <v>0</v>
      </c>
      <c r="R48" s="57"/>
      <c r="S48" s="58">
        <f t="shared" ca="1" si="3"/>
        <v>0</v>
      </c>
      <c r="T48" s="58">
        <f t="shared" ca="1" si="4"/>
        <v>0</v>
      </c>
      <c r="U48" s="61">
        <f t="shared" ca="1" si="8"/>
        <v>0</v>
      </c>
      <c r="V48" s="58">
        <f t="shared" ca="1" si="5"/>
        <v>0</v>
      </c>
      <c r="W48" s="57"/>
      <c r="X48" s="61"/>
      <c r="Y48" s="62"/>
    </row>
    <row r="49" spans="1:25" s="59" customFormat="1" x14ac:dyDescent="0.25">
      <c r="A49" s="53"/>
      <c r="B49" s="54">
        <f>IF($B48="","",IF($B48+1&gt;dropdown!$D$12,"",Schema!B48+1))</f>
        <v>40</v>
      </c>
      <c r="C49" s="55">
        <f ca="1">IF($B48="","",IF($B48+1&gt;dropdown!$D$12,"",EOMONTH(C48,0)+1))</f>
        <v>46447</v>
      </c>
      <c r="D49" s="53"/>
      <c r="E49" s="55">
        <f ca="1">IF($B48="","",IF($B48+1&gt;dropdown!$D$12,"",F48+1))</f>
        <v>46419</v>
      </c>
      <c r="F49" s="55">
        <f ca="1">IF($B48="","",IF($B48+1&gt;dropdown!$D$12,"",EOMONTH(E49,0)))</f>
        <v>46446</v>
      </c>
      <c r="G49" s="56">
        <f ca="1">IF($B48="","",IF($B48+1&gt;dropdown!$D$12,"",(_xlfn.DAYS(F49,E49)+1)/DAY(F49)))</f>
        <v>1</v>
      </c>
      <c r="H49" s="57"/>
      <c r="I49" s="58">
        <f ca="1">IF($B48="","",IF($B48+1&gt;dropdown!$D$12,"",I48-J48))</f>
        <v>0</v>
      </c>
      <c r="J49" s="58">
        <f ca="1">IF($B48="","",IF($B48+1&gt;dropdown!$D$12,"",IF(B48&lt;dropdown!$D$13,0,IF(Aflossingsmethode="Lineair",Aflossingsbedrag,IF(Aflossingsmethode="Annuïteit",IFERROR(Bedrag_annuïteit-K49,0),0)))))</f>
        <v>0</v>
      </c>
      <c r="K49" s="58">
        <f ca="1">IF($B48="","",IF($B48+1&gt;dropdown!$D$12,"",G49*I49*Rentekosten))</f>
        <v>0</v>
      </c>
      <c r="L49" s="58">
        <f t="shared" ca="1" si="6"/>
        <v>0</v>
      </c>
      <c r="M49" s="58">
        <f t="shared" ca="1" si="0"/>
        <v>0</v>
      </c>
      <c r="N49" s="57"/>
      <c r="O49" s="60">
        <f t="shared" si="1"/>
        <v>8.2916666666666677E-3</v>
      </c>
      <c r="P49" s="60">
        <f t="shared" si="2"/>
        <v>1.153689522496746E-2</v>
      </c>
      <c r="Q49" s="60">
        <f t="shared" ca="1" si="7"/>
        <v>0</v>
      </c>
      <c r="R49" s="57"/>
      <c r="S49" s="58">
        <f t="shared" ca="1" si="3"/>
        <v>0</v>
      </c>
      <c r="T49" s="58">
        <f t="shared" ca="1" si="4"/>
        <v>0</v>
      </c>
      <c r="U49" s="61">
        <f t="shared" ca="1" si="8"/>
        <v>0</v>
      </c>
      <c r="V49" s="58">
        <f t="shared" ca="1" si="5"/>
        <v>0</v>
      </c>
      <c r="W49" s="57"/>
      <c r="X49" s="61"/>
      <c r="Y49" s="62"/>
    </row>
    <row r="50" spans="1:25" s="59" customFormat="1" x14ac:dyDescent="0.25">
      <c r="A50" s="53"/>
      <c r="B50" s="54">
        <f>IF($B49="","",IF($B49+1&gt;dropdown!$D$12,"",Schema!B49+1))</f>
        <v>41</v>
      </c>
      <c r="C50" s="55">
        <f ca="1">IF($B49="","",IF($B49+1&gt;dropdown!$D$12,"",EOMONTH(C49,0)+1))</f>
        <v>46478</v>
      </c>
      <c r="D50" s="53"/>
      <c r="E50" s="55">
        <f ca="1">IF($B49="","",IF($B49+1&gt;dropdown!$D$12,"",F49+1))</f>
        <v>46447</v>
      </c>
      <c r="F50" s="55">
        <f ca="1">IF($B49="","",IF($B49+1&gt;dropdown!$D$12,"",EOMONTH(E50,0)))</f>
        <v>46477</v>
      </c>
      <c r="G50" s="56">
        <f ca="1">IF($B49="","",IF($B49+1&gt;dropdown!$D$12,"",(_xlfn.DAYS(F50,E50)+1)/DAY(F50)))</f>
        <v>1</v>
      </c>
      <c r="H50" s="57"/>
      <c r="I50" s="58">
        <f ca="1">IF($B49="","",IF($B49+1&gt;dropdown!$D$12,"",I49-J49))</f>
        <v>0</v>
      </c>
      <c r="J50" s="58">
        <f ca="1">IF($B49="","",IF($B49+1&gt;dropdown!$D$12,"",IF(B49&lt;dropdown!$D$13,0,IF(Aflossingsmethode="Lineair",Aflossingsbedrag,IF(Aflossingsmethode="Annuïteit",IFERROR(Bedrag_annuïteit-K50,0),0)))))</f>
        <v>0</v>
      </c>
      <c r="K50" s="58">
        <f ca="1">IF($B49="","",IF($B49+1&gt;dropdown!$D$12,"",G50*I50*Rentekosten))</f>
        <v>0</v>
      </c>
      <c r="L50" s="58">
        <f t="shared" ca="1" si="6"/>
        <v>0</v>
      </c>
      <c r="M50" s="58">
        <f t="shared" ca="1" si="0"/>
        <v>0</v>
      </c>
      <c r="N50" s="57"/>
      <c r="O50" s="60">
        <f t="shared" si="1"/>
        <v>8.2916666666666677E-3</v>
      </c>
      <c r="P50" s="60">
        <f t="shared" si="2"/>
        <v>1.1632555314541146E-2</v>
      </c>
      <c r="Q50" s="60">
        <f t="shared" ca="1" si="7"/>
        <v>0</v>
      </c>
      <c r="R50" s="57"/>
      <c r="S50" s="58">
        <f t="shared" ca="1" si="3"/>
        <v>0</v>
      </c>
      <c r="T50" s="58">
        <f t="shared" ca="1" si="4"/>
        <v>0</v>
      </c>
      <c r="U50" s="61">
        <f t="shared" ca="1" si="8"/>
        <v>0</v>
      </c>
      <c r="V50" s="58">
        <f t="shared" ca="1" si="5"/>
        <v>0</v>
      </c>
      <c r="W50" s="57"/>
      <c r="X50" s="61"/>
      <c r="Y50" s="62"/>
    </row>
    <row r="51" spans="1:25" s="59" customFormat="1" x14ac:dyDescent="0.25">
      <c r="A51" s="53"/>
      <c r="B51" s="54">
        <f>IF($B50="","",IF($B50+1&gt;dropdown!$D$12,"",Schema!B50+1))</f>
        <v>42</v>
      </c>
      <c r="C51" s="55">
        <f ca="1">IF($B50="","",IF($B50+1&gt;dropdown!$D$12,"",EOMONTH(C50,0)+1))</f>
        <v>46508</v>
      </c>
      <c r="D51" s="53"/>
      <c r="E51" s="55">
        <f ca="1">IF($B50="","",IF($B50+1&gt;dropdown!$D$12,"",F50+1))</f>
        <v>46478</v>
      </c>
      <c r="F51" s="55">
        <f ca="1">IF($B50="","",IF($B50+1&gt;dropdown!$D$12,"",EOMONTH(E51,0)))</f>
        <v>46507</v>
      </c>
      <c r="G51" s="56">
        <f ca="1">IF($B50="","",IF($B50+1&gt;dropdown!$D$12,"",(_xlfn.DAYS(F51,E51)+1)/DAY(F51)))</f>
        <v>1</v>
      </c>
      <c r="H51" s="57"/>
      <c r="I51" s="58">
        <f ca="1">IF($B50="","",IF($B50+1&gt;dropdown!$D$12,"",I50-J50))</f>
        <v>0</v>
      </c>
      <c r="J51" s="58">
        <f ca="1">IF($B50="","",IF($B50+1&gt;dropdown!$D$12,"",IF(B50&lt;dropdown!$D$13,0,IF(Aflossingsmethode="Lineair",Aflossingsbedrag,IF(Aflossingsmethode="Annuïteit",IFERROR(Bedrag_annuïteit-K51,0),0)))))</f>
        <v>0</v>
      </c>
      <c r="K51" s="58">
        <f ca="1">IF($B50="","",IF($B50+1&gt;dropdown!$D$12,"",G51*I51*Rentekosten))</f>
        <v>0</v>
      </c>
      <c r="L51" s="58">
        <f t="shared" ca="1" si="6"/>
        <v>0</v>
      </c>
      <c r="M51" s="58">
        <f t="shared" ca="1" si="0"/>
        <v>0</v>
      </c>
      <c r="N51" s="57"/>
      <c r="O51" s="60">
        <f t="shared" si="1"/>
        <v>8.2916666666666677E-3</v>
      </c>
      <c r="P51" s="60">
        <f t="shared" si="2"/>
        <v>1.172900858569088E-2</v>
      </c>
      <c r="Q51" s="60">
        <f t="shared" ca="1" si="7"/>
        <v>0</v>
      </c>
      <c r="R51" s="57"/>
      <c r="S51" s="58">
        <f t="shared" ca="1" si="3"/>
        <v>0</v>
      </c>
      <c r="T51" s="58">
        <f t="shared" ca="1" si="4"/>
        <v>0</v>
      </c>
      <c r="U51" s="61">
        <f t="shared" ca="1" si="8"/>
        <v>0</v>
      </c>
      <c r="V51" s="58">
        <f t="shared" ca="1" si="5"/>
        <v>0</v>
      </c>
      <c r="W51" s="57"/>
      <c r="X51" s="61"/>
      <c r="Y51" s="62"/>
    </row>
    <row r="52" spans="1:25" s="59" customFormat="1" x14ac:dyDescent="0.25">
      <c r="A52" s="53"/>
      <c r="B52" s="54">
        <f>IF($B51="","",IF($B51+1&gt;dropdown!$D$12,"",Schema!B51+1))</f>
        <v>43</v>
      </c>
      <c r="C52" s="55">
        <f ca="1">IF($B51="","",IF($B51+1&gt;dropdown!$D$12,"",EOMONTH(C51,0)+1))</f>
        <v>46539</v>
      </c>
      <c r="D52" s="53"/>
      <c r="E52" s="55">
        <f ca="1">IF($B51="","",IF($B51+1&gt;dropdown!$D$12,"",F51+1))</f>
        <v>46508</v>
      </c>
      <c r="F52" s="55">
        <f ca="1">IF($B51="","",IF($B51+1&gt;dropdown!$D$12,"",EOMONTH(E52,0)))</f>
        <v>46538</v>
      </c>
      <c r="G52" s="56">
        <f ca="1">IF($B51="","",IF($B51+1&gt;dropdown!$D$12,"",(_xlfn.DAYS(F52,E52)+1)/DAY(F52)))</f>
        <v>1</v>
      </c>
      <c r="H52" s="57"/>
      <c r="I52" s="58">
        <f ca="1">IF($B51="","",IF($B51+1&gt;dropdown!$D$12,"",I51-J51))</f>
        <v>0</v>
      </c>
      <c r="J52" s="58">
        <f ca="1">IF($B51="","",IF($B51+1&gt;dropdown!$D$12,"",IF(B51&lt;dropdown!$D$13,0,IF(Aflossingsmethode="Lineair",Aflossingsbedrag,IF(Aflossingsmethode="Annuïteit",IFERROR(Bedrag_annuïteit-K52,0),0)))))</f>
        <v>0</v>
      </c>
      <c r="K52" s="58">
        <f ca="1">IF($B51="","",IF($B51+1&gt;dropdown!$D$12,"",G52*I52*Rentekosten))</f>
        <v>0</v>
      </c>
      <c r="L52" s="58">
        <f t="shared" ca="1" si="6"/>
        <v>0</v>
      </c>
      <c r="M52" s="58">
        <f t="shared" ca="1" si="0"/>
        <v>0</v>
      </c>
      <c r="N52" s="57"/>
      <c r="O52" s="60">
        <f t="shared" si="1"/>
        <v>8.2916666666666677E-3</v>
      </c>
      <c r="P52" s="60">
        <f t="shared" si="2"/>
        <v>1.1826261615213902E-2</v>
      </c>
      <c r="Q52" s="60">
        <f t="shared" ca="1" si="7"/>
        <v>0</v>
      </c>
      <c r="R52" s="57"/>
      <c r="S52" s="58">
        <f t="shared" ca="1" si="3"/>
        <v>0</v>
      </c>
      <c r="T52" s="58">
        <f t="shared" ca="1" si="4"/>
        <v>0</v>
      </c>
      <c r="U52" s="61">
        <f t="shared" ca="1" si="8"/>
        <v>0</v>
      </c>
      <c r="V52" s="58">
        <f t="shared" ca="1" si="5"/>
        <v>0</v>
      </c>
      <c r="W52" s="57"/>
      <c r="X52" s="61"/>
      <c r="Y52" s="62"/>
    </row>
    <row r="53" spans="1:25" s="59" customFormat="1" x14ac:dyDescent="0.25">
      <c r="A53" s="53"/>
      <c r="B53" s="54">
        <f>IF($B52="","",IF($B52+1&gt;dropdown!$D$12,"",Schema!B52+1))</f>
        <v>44</v>
      </c>
      <c r="C53" s="55">
        <f ca="1">IF($B52="","",IF($B52+1&gt;dropdown!$D$12,"",EOMONTH(C52,0)+1))</f>
        <v>46569</v>
      </c>
      <c r="D53" s="53"/>
      <c r="E53" s="55">
        <f ca="1">IF($B52="","",IF($B52+1&gt;dropdown!$D$12,"",F52+1))</f>
        <v>46539</v>
      </c>
      <c r="F53" s="55">
        <f ca="1">IF($B52="","",IF($B52+1&gt;dropdown!$D$12,"",EOMONTH(E53,0)))</f>
        <v>46568</v>
      </c>
      <c r="G53" s="56">
        <f ca="1">IF($B52="","",IF($B52+1&gt;dropdown!$D$12,"",(_xlfn.DAYS(F53,E53)+1)/DAY(F53)))</f>
        <v>1</v>
      </c>
      <c r="H53" s="57"/>
      <c r="I53" s="58">
        <f ca="1">IF($B52="","",IF($B52+1&gt;dropdown!$D$12,"",I52-J52))</f>
        <v>0</v>
      </c>
      <c r="J53" s="58">
        <f ca="1">IF($B52="","",IF($B52+1&gt;dropdown!$D$12,"",IF(B52&lt;dropdown!$D$13,0,IF(Aflossingsmethode="Lineair",Aflossingsbedrag,IF(Aflossingsmethode="Annuïteit",IFERROR(Bedrag_annuïteit-K53,0),0)))))</f>
        <v>0</v>
      </c>
      <c r="K53" s="58">
        <f ca="1">IF($B52="","",IF($B52+1&gt;dropdown!$D$12,"",G53*I53*Rentekosten))</f>
        <v>0</v>
      </c>
      <c r="L53" s="58">
        <f t="shared" ca="1" si="6"/>
        <v>0</v>
      </c>
      <c r="M53" s="58">
        <f t="shared" ca="1" si="0"/>
        <v>0</v>
      </c>
      <c r="N53" s="57"/>
      <c r="O53" s="60">
        <f t="shared" si="1"/>
        <v>8.2916666666666677E-3</v>
      </c>
      <c r="P53" s="60">
        <f t="shared" si="2"/>
        <v>1.192432103444005E-2</v>
      </c>
      <c r="Q53" s="60">
        <f t="shared" ca="1" si="7"/>
        <v>0</v>
      </c>
      <c r="R53" s="57"/>
      <c r="S53" s="58">
        <f t="shared" ca="1" si="3"/>
        <v>0</v>
      </c>
      <c r="T53" s="58">
        <f t="shared" ca="1" si="4"/>
        <v>0</v>
      </c>
      <c r="U53" s="61">
        <f t="shared" ca="1" si="8"/>
        <v>0</v>
      </c>
      <c r="V53" s="58">
        <f t="shared" ca="1" si="5"/>
        <v>0</v>
      </c>
      <c r="W53" s="57"/>
      <c r="X53" s="61"/>
      <c r="Y53" s="62"/>
    </row>
    <row r="54" spans="1:25" s="59" customFormat="1" x14ac:dyDescent="0.25">
      <c r="A54" s="53"/>
      <c r="B54" s="54">
        <f>IF($B53="","",IF($B53+1&gt;dropdown!$D$12,"",Schema!B53+1))</f>
        <v>45</v>
      </c>
      <c r="C54" s="55">
        <f ca="1">IF($B53="","",IF($B53+1&gt;dropdown!$D$12,"",EOMONTH(C53,0)+1))</f>
        <v>46600</v>
      </c>
      <c r="D54" s="53"/>
      <c r="E54" s="55">
        <f ca="1">IF($B53="","",IF($B53+1&gt;dropdown!$D$12,"",F53+1))</f>
        <v>46569</v>
      </c>
      <c r="F54" s="55">
        <f ca="1">IF($B53="","",IF($B53+1&gt;dropdown!$D$12,"",EOMONTH(E54,0)))</f>
        <v>46599</v>
      </c>
      <c r="G54" s="56">
        <f ca="1">IF($B53="","",IF($B53+1&gt;dropdown!$D$12,"",(_xlfn.DAYS(F54,E54)+1)/DAY(F54)))</f>
        <v>1</v>
      </c>
      <c r="H54" s="57"/>
      <c r="I54" s="58">
        <f ca="1">IF($B53="","",IF($B53+1&gt;dropdown!$D$12,"",I53-J53))</f>
        <v>0</v>
      </c>
      <c r="J54" s="58">
        <f ca="1">IF($B53="","",IF($B53+1&gt;dropdown!$D$12,"",IF(B53&lt;dropdown!$D$13,0,IF(Aflossingsmethode="Lineair",Aflossingsbedrag,IF(Aflossingsmethode="Annuïteit",IFERROR(Bedrag_annuïteit-K54,0),0)))))</f>
        <v>0</v>
      </c>
      <c r="K54" s="58">
        <f ca="1">IF($B53="","",IF($B53+1&gt;dropdown!$D$12,"",G54*I54*Rentekosten))</f>
        <v>0</v>
      </c>
      <c r="L54" s="58">
        <f t="shared" ca="1" si="6"/>
        <v>0</v>
      </c>
      <c r="M54" s="58">
        <f t="shared" ca="1" si="0"/>
        <v>0</v>
      </c>
      <c r="N54" s="57"/>
      <c r="O54" s="60">
        <f t="shared" si="1"/>
        <v>8.2916666666666677E-3</v>
      </c>
      <c r="P54" s="60">
        <f t="shared" si="2"/>
        <v>1.2023193529683947E-2</v>
      </c>
      <c r="Q54" s="60">
        <f t="shared" ca="1" si="7"/>
        <v>0</v>
      </c>
      <c r="R54" s="57"/>
      <c r="S54" s="58">
        <f t="shared" ca="1" si="3"/>
        <v>0</v>
      </c>
      <c r="T54" s="58">
        <f t="shared" ca="1" si="4"/>
        <v>0</v>
      </c>
      <c r="U54" s="61">
        <f t="shared" ca="1" si="8"/>
        <v>0</v>
      </c>
      <c r="V54" s="58">
        <f t="shared" ca="1" si="5"/>
        <v>0</v>
      </c>
      <c r="W54" s="57"/>
      <c r="X54" s="61"/>
      <c r="Y54" s="62"/>
    </row>
    <row r="55" spans="1:25" s="59" customFormat="1" x14ac:dyDescent="0.25">
      <c r="A55" s="53"/>
      <c r="B55" s="54">
        <f>IF($B54="","",IF($B54+1&gt;dropdown!$D$12,"",Schema!B54+1))</f>
        <v>46</v>
      </c>
      <c r="C55" s="55">
        <f ca="1">IF($B54="","",IF($B54+1&gt;dropdown!$D$12,"",EOMONTH(C54,0)+1))</f>
        <v>46631</v>
      </c>
      <c r="D55" s="53"/>
      <c r="E55" s="55">
        <f ca="1">IF($B54="","",IF($B54+1&gt;dropdown!$D$12,"",F54+1))</f>
        <v>46600</v>
      </c>
      <c r="F55" s="55">
        <f ca="1">IF($B54="","",IF($B54+1&gt;dropdown!$D$12,"",EOMONTH(E55,0)))</f>
        <v>46630</v>
      </c>
      <c r="G55" s="56">
        <f ca="1">IF($B54="","",IF($B54+1&gt;dropdown!$D$12,"",(_xlfn.DAYS(F55,E55)+1)/DAY(F55)))</f>
        <v>1</v>
      </c>
      <c r="H55" s="57"/>
      <c r="I55" s="58">
        <f ca="1">IF($B54="","",IF($B54+1&gt;dropdown!$D$12,"",I54-J54))</f>
        <v>0</v>
      </c>
      <c r="J55" s="58">
        <f ca="1">IF($B54="","",IF($B54+1&gt;dropdown!$D$12,"",IF(B54&lt;dropdown!$D$13,0,IF(Aflossingsmethode="Lineair",Aflossingsbedrag,IF(Aflossingsmethode="Annuïteit",IFERROR(Bedrag_annuïteit-K55,0),0)))))</f>
        <v>0</v>
      </c>
      <c r="K55" s="58">
        <f ca="1">IF($B54="","",IF($B54+1&gt;dropdown!$D$12,"",G55*I55*Rentekosten))</f>
        <v>0</v>
      </c>
      <c r="L55" s="58">
        <f t="shared" ca="1" si="6"/>
        <v>0</v>
      </c>
      <c r="M55" s="58">
        <f t="shared" ca="1" si="0"/>
        <v>0</v>
      </c>
      <c r="N55" s="57"/>
      <c r="O55" s="60">
        <f t="shared" si="1"/>
        <v>8.2916666666666677E-3</v>
      </c>
      <c r="P55" s="60">
        <f t="shared" si="2"/>
        <v>1.2122885842700909E-2</v>
      </c>
      <c r="Q55" s="60">
        <f t="shared" ca="1" si="7"/>
        <v>0</v>
      </c>
      <c r="R55" s="57"/>
      <c r="S55" s="58">
        <f t="shared" ca="1" si="3"/>
        <v>0</v>
      </c>
      <c r="T55" s="58">
        <f t="shared" ca="1" si="4"/>
        <v>0</v>
      </c>
      <c r="U55" s="61">
        <f t="shared" ca="1" si="8"/>
        <v>0</v>
      </c>
      <c r="V55" s="58">
        <f t="shared" ca="1" si="5"/>
        <v>0</v>
      </c>
      <c r="W55" s="57"/>
      <c r="X55" s="61"/>
      <c r="Y55" s="62"/>
    </row>
    <row r="56" spans="1:25" s="59" customFormat="1" x14ac:dyDescent="0.25">
      <c r="A56" s="53"/>
      <c r="B56" s="54">
        <f>IF($B55="","",IF($B55+1&gt;dropdown!$D$12,"",Schema!B55+1))</f>
        <v>47</v>
      </c>
      <c r="C56" s="55">
        <f ca="1">IF($B55="","",IF($B55+1&gt;dropdown!$D$12,"",EOMONTH(C55,0)+1))</f>
        <v>46661</v>
      </c>
      <c r="D56" s="53"/>
      <c r="E56" s="55">
        <f ca="1">IF($B55="","",IF($B55+1&gt;dropdown!$D$12,"",F55+1))</f>
        <v>46631</v>
      </c>
      <c r="F56" s="55">
        <f ca="1">IF($B55="","",IF($B55+1&gt;dropdown!$D$12,"",EOMONTH(E56,0)))</f>
        <v>46660</v>
      </c>
      <c r="G56" s="56">
        <f ca="1">IF($B55="","",IF($B55+1&gt;dropdown!$D$12,"",(_xlfn.DAYS(F56,E56)+1)/DAY(F56)))</f>
        <v>1</v>
      </c>
      <c r="H56" s="57"/>
      <c r="I56" s="58">
        <f ca="1">IF($B55="","",IF($B55+1&gt;dropdown!$D$12,"",I55-J55))</f>
        <v>0</v>
      </c>
      <c r="J56" s="58">
        <f ca="1">IF($B55="","",IF($B55+1&gt;dropdown!$D$12,"",IF(B55&lt;dropdown!$D$13,0,IF(Aflossingsmethode="Lineair",Aflossingsbedrag,IF(Aflossingsmethode="Annuïteit",IFERROR(Bedrag_annuïteit-K56,0),0)))))</f>
        <v>0</v>
      </c>
      <c r="K56" s="58">
        <f ca="1">IF($B55="","",IF($B55+1&gt;dropdown!$D$12,"",G56*I56*Rentekosten))</f>
        <v>0</v>
      </c>
      <c r="L56" s="58">
        <f t="shared" ca="1" si="6"/>
        <v>0</v>
      </c>
      <c r="M56" s="58">
        <f t="shared" ca="1" si="0"/>
        <v>0</v>
      </c>
      <c r="N56" s="57"/>
      <c r="O56" s="60">
        <f t="shared" si="1"/>
        <v>8.2916666666666677E-3</v>
      </c>
      <c r="P56" s="60">
        <f t="shared" si="2"/>
        <v>1.2223404771146638E-2</v>
      </c>
      <c r="Q56" s="60">
        <f t="shared" ca="1" si="7"/>
        <v>0</v>
      </c>
      <c r="R56" s="57"/>
      <c r="S56" s="58">
        <f t="shared" ca="1" si="3"/>
        <v>0</v>
      </c>
      <c r="T56" s="58">
        <f t="shared" ca="1" si="4"/>
        <v>0</v>
      </c>
      <c r="U56" s="61">
        <f t="shared" ca="1" si="8"/>
        <v>0</v>
      </c>
      <c r="V56" s="58">
        <f t="shared" ca="1" si="5"/>
        <v>0</v>
      </c>
      <c r="W56" s="57"/>
      <c r="X56" s="61"/>
      <c r="Y56" s="62"/>
    </row>
    <row r="57" spans="1:25" s="59" customFormat="1" x14ac:dyDescent="0.25">
      <c r="A57" s="53"/>
      <c r="B57" s="54">
        <f>IF($B56="","",IF($B56+1&gt;dropdown!$D$12,"",Schema!B56+1))</f>
        <v>48</v>
      </c>
      <c r="C57" s="55">
        <f ca="1">IF($B56="","",IF($B56+1&gt;dropdown!$D$12,"",EOMONTH(C56,0)+1))</f>
        <v>46692</v>
      </c>
      <c r="D57" s="53"/>
      <c r="E57" s="55">
        <f ca="1">IF($B56="","",IF($B56+1&gt;dropdown!$D$12,"",F56+1))</f>
        <v>46661</v>
      </c>
      <c r="F57" s="55">
        <f ca="1">IF($B56="","",IF($B56+1&gt;dropdown!$D$12,"",EOMONTH(E57,0)))</f>
        <v>46691</v>
      </c>
      <c r="G57" s="56">
        <f ca="1">IF($B56="","",IF($B56+1&gt;dropdown!$D$12,"",(_xlfn.DAYS(F57,E57)+1)/DAY(F57)))</f>
        <v>1</v>
      </c>
      <c r="H57" s="57"/>
      <c r="I57" s="58">
        <f ca="1">IF($B56="","",IF($B56+1&gt;dropdown!$D$12,"",I56-J56))</f>
        <v>0</v>
      </c>
      <c r="J57" s="58">
        <f ca="1">IF($B56="","",IF($B56+1&gt;dropdown!$D$12,"",IF(B56&lt;dropdown!$D$13,0,IF(Aflossingsmethode="Lineair",Aflossingsbedrag,IF(Aflossingsmethode="Annuïteit",IFERROR(Bedrag_annuïteit-K57,0),0)))))</f>
        <v>0</v>
      </c>
      <c r="K57" s="58">
        <f ca="1">IF($B56="","",IF($B56+1&gt;dropdown!$D$12,"",G57*I57*Rentekosten))</f>
        <v>0</v>
      </c>
      <c r="L57" s="58">
        <f t="shared" ca="1" si="6"/>
        <v>0</v>
      </c>
      <c r="M57" s="58">
        <f t="shared" ca="1" si="0"/>
        <v>0</v>
      </c>
      <c r="N57" s="57"/>
      <c r="O57" s="60">
        <f t="shared" si="1"/>
        <v>8.2916666666666677E-3</v>
      </c>
      <c r="P57" s="60">
        <f t="shared" si="2"/>
        <v>1.2324757169040728E-2</v>
      </c>
      <c r="Q57" s="60">
        <f t="shared" ca="1" si="7"/>
        <v>0</v>
      </c>
      <c r="R57" s="57"/>
      <c r="S57" s="58">
        <f t="shared" ca="1" si="3"/>
        <v>0</v>
      </c>
      <c r="T57" s="58">
        <f t="shared" ca="1" si="4"/>
        <v>0</v>
      </c>
      <c r="U57" s="61">
        <f t="shared" ca="1" si="8"/>
        <v>0</v>
      </c>
      <c r="V57" s="58">
        <f t="shared" ca="1" si="5"/>
        <v>0</v>
      </c>
      <c r="W57" s="57"/>
      <c r="X57" s="61"/>
      <c r="Y57" s="62"/>
    </row>
    <row r="58" spans="1:25" s="59" customFormat="1" x14ac:dyDescent="0.25">
      <c r="A58" s="53"/>
      <c r="B58" s="54">
        <f>IF($B57="","",IF($B57+1&gt;dropdown!$D$12,"",Schema!B57+1))</f>
        <v>49</v>
      </c>
      <c r="C58" s="55">
        <f ca="1">IF($B57="","",IF($B57+1&gt;dropdown!$D$12,"",EOMONTH(C57,0)+1))</f>
        <v>46722</v>
      </c>
      <c r="D58" s="53"/>
      <c r="E58" s="55">
        <f ca="1">IF($B57="","",IF($B57+1&gt;dropdown!$D$12,"",F57+1))</f>
        <v>46692</v>
      </c>
      <c r="F58" s="55">
        <f ca="1">IF($B57="","",IF($B57+1&gt;dropdown!$D$12,"",EOMONTH(E58,0)))</f>
        <v>46721</v>
      </c>
      <c r="G58" s="56">
        <f ca="1">IF($B57="","",IF($B57+1&gt;dropdown!$D$12,"",(_xlfn.DAYS(F58,E58)+1)/DAY(F58)))</f>
        <v>1</v>
      </c>
      <c r="H58" s="57"/>
      <c r="I58" s="58">
        <f ca="1">IF($B57="","",IF($B57+1&gt;dropdown!$D$12,"",I57-J57))</f>
        <v>0</v>
      </c>
      <c r="J58" s="58">
        <f ca="1">IF($B57="","",IF($B57+1&gt;dropdown!$D$12,"",IF(B57&lt;dropdown!$D$13,0,IF(Aflossingsmethode="Lineair",Aflossingsbedrag,IF(Aflossingsmethode="Annuïteit",IFERROR(Bedrag_annuïteit-K58,0),0)))))</f>
        <v>0</v>
      </c>
      <c r="K58" s="58">
        <f ca="1">IF($B57="","",IF($B57+1&gt;dropdown!$D$12,"",G58*I58*Rentekosten))</f>
        <v>0</v>
      </c>
      <c r="L58" s="58">
        <f t="shared" ca="1" si="6"/>
        <v>0</v>
      </c>
      <c r="M58" s="58">
        <f t="shared" ca="1" si="0"/>
        <v>0</v>
      </c>
      <c r="N58" s="57"/>
      <c r="O58" s="60">
        <f t="shared" si="1"/>
        <v>8.2916666666666677E-3</v>
      </c>
      <c r="P58" s="60">
        <f t="shared" si="2"/>
        <v>1.2426949947234025E-2</v>
      </c>
      <c r="Q58" s="60">
        <f t="shared" ca="1" si="7"/>
        <v>0</v>
      </c>
      <c r="R58" s="57"/>
      <c r="S58" s="58">
        <f t="shared" ca="1" si="3"/>
        <v>0</v>
      </c>
      <c r="T58" s="58">
        <f t="shared" ca="1" si="4"/>
        <v>0</v>
      </c>
      <c r="U58" s="61">
        <f t="shared" ca="1" si="8"/>
        <v>0</v>
      </c>
      <c r="V58" s="58">
        <f t="shared" ca="1" si="5"/>
        <v>0</v>
      </c>
      <c r="W58" s="57"/>
      <c r="X58" s="61"/>
      <c r="Y58" s="62"/>
    </row>
    <row r="59" spans="1:25" s="59" customFormat="1" x14ac:dyDescent="0.25">
      <c r="A59" s="53"/>
      <c r="B59" s="54">
        <f>IF($B58="","",IF($B58+1&gt;dropdown!$D$12,"",Schema!B58+1))</f>
        <v>50</v>
      </c>
      <c r="C59" s="55">
        <f ca="1">IF($B58="","",IF($B58+1&gt;dropdown!$D$12,"",EOMONTH(C58,0)+1))</f>
        <v>46753</v>
      </c>
      <c r="D59" s="53"/>
      <c r="E59" s="55">
        <f ca="1">IF($B58="","",IF($B58+1&gt;dropdown!$D$12,"",F58+1))</f>
        <v>46722</v>
      </c>
      <c r="F59" s="55">
        <f ca="1">IF($B58="","",IF($B58+1&gt;dropdown!$D$12,"",EOMONTH(E59,0)))</f>
        <v>46752</v>
      </c>
      <c r="G59" s="56">
        <f ca="1">IF($B58="","",IF($B58+1&gt;dropdown!$D$12,"",(_xlfn.DAYS(F59,E59)+1)/DAY(F59)))</f>
        <v>1</v>
      </c>
      <c r="H59" s="57"/>
      <c r="I59" s="58">
        <f ca="1">IF($B58="","",IF($B58+1&gt;dropdown!$D$12,"",I58-J58))</f>
        <v>0</v>
      </c>
      <c r="J59" s="58">
        <f ca="1">IF($B58="","",IF($B58+1&gt;dropdown!$D$12,"",IF(B58&lt;dropdown!$D$13,0,IF(Aflossingsmethode="Lineair",Aflossingsbedrag,IF(Aflossingsmethode="Annuïteit",IFERROR(Bedrag_annuïteit-K59,0),0)))))</f>
        <v>0</v>
      </c>
      <c r="K59" s="58">
        <f ca="1">IF($B58="","",IF($B58+1&gt;dropdown!$D$12,"",G59*I59*Rentekosten))</f>
        <v>0</v>
      </c>
      <c r="L59" s="58">
        <f t="shared" ca="1" si="6"/>
        <v>0</v>
      </c>
      <c r="M59" s="58">
        <f t="shared" ca="1" si="0"/>
        <v>0</v>
      </c>
      <c r="N59" s="57"/>
      <c r="O59" s="60">
        <f t="shared" si="1"/>
        <v>8.2916666666666677E-3</v>
      </c>
      <c r="P59" s="60">
        <f t="shared" si="2"/>
        <v>1.2529990073879839E-2</v>
      </c>
      <c r="Q59" s="60">
        <f t="shared" ca="1" si="7"/>
        <v>0</v>
      </c>
      <c r="R59" s="57"/>
      <c r="S59" s="58">
        <f t="shared" ca="1" si="3"/>
        <v>0</v>
      </c>
      <c r="T59" s="58">
        <f t="shared" ca="1" si="4"/>
        <v>0</v>
      </c>
      <c r="U59" s="61">
        <f t="shared" ca="1" si="8"/>
        <v>0</v>
      </c>
      <c r="V59" s="58">
        <f t="shared" ca="1" si="5"/>
        <v>0</v>
      </c>
      <c r="W59" s="57"/>
      <c r="X59" s="61"/>
      <c r="Y59" s="62"/>
    </row>
    <row r="60" spans="1:25" s="59" customFormat="1" x14ac:dyDescent="0.25">
      <c r="A60" s="53"/>
      <c r="B60" s="54">
        <f>IF($B59="","",IF($B59+1&gt;dropdown!$D$12,"",Schema!B59+1))</f>
        <v>51</v>
      </c>
      <c r="C60" s="55">
        <f ca="1">IF($B59="","",IF($B59+1&gt;dropdown!$D$12,"",EOMONTH(C59,0)+1))</f>
        <v>46784</v>
      </c>
      <c r="D60" s="53"/>
      <c r="E60" s="55">
        <f ca="1">IF($B59="","",IF($B59+1&gt;dropdown!$D$12,"",F59+1))</f>
        <v>46753</v>
      </c>
      <c r="F60" s="55">
        <f ca="1">IF($B59="","",IF($B59+1&gt;dropdown!$D$12,"",EOMONTH(E60,0)))</f>
        <v>46783</v>
      </c>
      <c r="G60" s="56">
        <f ca="1">IF($B59="","",IF($B59+1&gt;dropdown!$D$12,"",(_xlfn.DAYS(F60,E60)+1)/DAY(F60)))</f>
        <v>1</v>
      </c>
      <c r="H60" s="57"/>
      <c r="I60" s="58">
        <f ca="1">IF($B59="","",IF($B59+1&gt;dropdown!$D$12,"",I59-J59))</f>
        <v>0</v>
      </c>
      <c r="J60" s="58">
        <f ca="1">IF($B59="","",IF($B59+1&gt;dropdown!$D$12,"",IF(B59&lt;dropdown!$D$13,0,IF(Aflossingsmethode="Lineair",Aflossingsbedrag,IF(Aflossingsmethode="Annuïteit",IFERROR(Bedrag_annuïteit-K60,0),0)))))</f>
        <v>0</v>
      </c>
      <c r="K60" s="58">
        <f ca="1">IF($B59="","",IF($B59+1&gt;dropdown!$D$12,"",G60*I60*Rentekosten))</f>
        <v>0</v>
      </c>
      <c r="L60" s="58">
        <f t="shared" ca="1" si="6"/>
        <v>0</v>
      </c>
      <c r="M60" s="58">
        <f t="shared" ca="1" si="0"/>
        <v>0</v>
      </c>
      <c r="N60" s="57"/>
      <c r="O60" s="60">
        <f t="shared" si="1"/>
        <v>8.2916666666666677E-3</v>
      </c>
      <c r="P60" s="60">
        <f t="shared" si="2"/>
        <v>1.2633884574909091E-2</v>
      </c>
      <c r="Q60" s="60">
        <f t="shared" ca="1" si="7"/>
        <v>0</v>
      </c>
      <c r="R60" s="57"/>
      <c r="S60" s="58">
        <f t="shared" ca="1" si="3"/>
        <v>0</v>
      </c>
      <c r="T60" s="58">
        <f t="shared" ca="1" si="4"/>
        <v>0</v>
      </c>
      <c r="U60" s="61">
        <f t="shared" ca="1" si="8"/>
        <v>0</v>
      </c>
      <c r="V60" s="58">
        <f t="shared" ca="1" si="5"/>
        <v>0</v>
      </c>
      <c r="W60" s="57"/>
      <c r="X60" s="61"/>
      <c r="Y60" s="62"/>
    </row>
    <row r="61" spans="1:25" s="59" customFormat="1" x14ac:dyDescent="0.25">
      <c r="A61" s="53"/>
      <c r="B61" s="54">
        <f>IF($B60="","",IF($B60+1&gt;dropdown!$D$12,"",Schema!B60+1))</f>
        <v>52</v>
      </c>
      <c r="C61" s="55">
        <f ca="1">IF($B60="","",IF($B60+1&gt;dropdown!$D$12,"",EOMONTH(C60,0)+1))</f>
        <v>46813</v>
      </c>
      <c r="D61" s="53"/>
      <c r="E61" s="55">
        <f ca="1">IF($B60="","",IF($B60+1&gt;dropdown!$D$12,"",F60+1))</f>
        <v>46784</v>
      </c>
      <c r="F61" s="55">
        <f ca="1">IF($B60="","",IF($B60+1&gt;dropdown!$D$12,"",EOMONTH(E61,0)))</f>
        <v>46812</v>
      </c>
      <c r="G61" s="56">
        <f ca="1">IF($B60="","",IF($B60+1&gt;dropdown!$D$12,"",(_xlfn.DAYS(F61,E61)+1)/DAY(F61)))</f>
        <v>1</v>
      </c>
      <c r="H61" s="57"/>
      <c r="I61" s="58">
        <f ca="1">IF($B60="","",IF($B60+1&gt;dropdown!$D$12,"",I60-J60))</f>
        <v>0</v>
      </c>
      <c r="J61" s="58">
        <f ca="1">IF($B60="","",IF($B60+1&gt;dropdown!$D$12,"",IF(B60&lt;dropdown!$D$13,0,IF(Aflossingsmethode="Lineair",Aflossingsbedrag,IF(Aflossingsmethode="Annuïteit",IFERROR(Bedrag_annuïteit-K61,0),0)))))</f>
        <v>0</v>
      </c>
      <c r="K61" s="58">
        <f ca="1">IF($B60="","",IF($B60+1&gt;dropdown!$D$12,"",G61*I61*Rentekosten))</f>
        <v>0</v>
      </c>
      <c r="L61" s="58">
        <f t="shared" ca="1" si="6"/>
        <v>0</v>
      </c>
      <c r="M61" s="58">
        <f t="shared" ca="1" si="0"/>
        <v>0</v>
      </c>
      <c r="N61" s="57"/>
      <c r="O61" s="60">
        <f t="shared" si="1"/>
        <v>8.2916666666666677E-3</v>
      </c>
      <c r="P61" s="60">
        <f t="shared" si="2"/>
        <v>1.2738640534509378E-2</v>
      </c>
      <c r="Q61" s="60">
        <f t="shared" ca="1" si="7"/>
        <v>0</v>
      </c>
      <c r="R61" s="57"/>
      <c r="S61" s="58">
        <f t="shared" ca="1" si="3"/>
        <v>0</v>
      </c>
      <c r="T61" s="58">
        <f t="shared" ca="1" si="4"/>
        <v>0</v>
      </c>
      <c r="U61" s="61">
        <f t="shared" ca="1" si="8"/>
        <v>0</v>
      </c>
      <c r="V61" s="58">
        <f t="shared" ca="1" si="5"/>
        <v>0</v>
      </c>
      <c r="W61" s="57"/>
      <c r="X61" s="61"/>
      <c r="Y61" s="62"/>
    </row>
    <row r="62" spans="1:25" s="59" customFormat="1" x14ac:dyDescent="0.25">
      <c r="A62" s="53"/>
      <c r="B62" s="54">
        <f>IF($B61="","",IF($B61+1&gt;dropdown!$D$12,"",Schema!B61+1))</f>
        <v>53</v>
      </c>
      <c r="C62" s="55">
        <f ca="1">IF($B61="","",IF($B61+1&gt;dropdown!$D$12,"",EOMONTH(C61,0)+1))</f>
        <v>46844</v>
      </c>
      <c r="D62" s="53"/>
      <c r="E62" s="55">
        <f ca="1">IF($B61="","",IF($B61+1&gt;dropdown!$D$12,"",F61+1))</f>
        <v>46813</v>
      </c>
      <c r="F62" s="55">
        <f ca="1">IF($B61="","",IF($B61+1&gt;dropdown!$D$12,"",EOMONTH(E62,0)))</f>
        <v>46843</v>
      </c>
      <c r="G62" s="56">
        <f ca="1">IF($B61="","",IF($B61+1&gt;dropdown!$D$12,"",(_xlfn.DAYS(F62,E62)+1)/DAY(F62)))</f>
        <v>1</v>
      </c>
      <c r="H62" s="57"/>
      <c r="I62" s="58">
        <f ca="1">IF($B61="","",IF($B61+1&gt;dropdown!$D$12,"",I61-J61))</f>
        <v>0</v>
      </c>
      <c r="J62" s="58">
        <f ca="1">IF($B61="","",IF($B61+1&gt;dropdown!$D$12,"",IF(B61&lt;dropdown!$D$13,0,IF(Aflossingsmethode="Lineair",Aflossingsbedrag,IF(Aflossingsmethode="Annuïteit",IFERROR(Bedrag_annuïteit-K62,0),0)))))</f>
        <v>0</v>
      </c>
      <c r="K62" s="58">
        <f ca="1">IF($B61="","",IF($B61+1&gt;dropdown!$D$12,"",G62*I62*Rentekosten))</f>
        <v>0</v>
      </c>
      <c r="L62" s="58">
        <f t="shared" ca="1" si="6"/>
        <v>0</v>
      </c>
      <c r="M62" s="58">
        <f t="shared" ca="1" si="0"/>
        <v>0</v>
      </c>
      <c r="N62" s="57"/>
      <c r="O62" s="60">
        <f t="shared" si="1"/>
        <v>8.2916666666666677E-3</v>
      </c>
      <c r="P62" s="60">
        <f t="shared" si="2"/>
        <v>1.2844265095608015E-2</v>
      </c>
      <c r="Q62" s="60">
        <f t="shared" ca="1" si="7"/>
        <v>0</v>
      </c>
      <c r="R62" s="57"/>
      <c r="S62" s="58">
        <f t="shared" ca="1" si="3"/>
        <v>0</v>
      </c>
      <c r="T62" s="58">
        <f t="shared" ca="1" si="4"/>
        <v>0</v>
      </c>
      <c r="U62" s="61">
        <f t="shared" ca="1" si="8"/>
        <v>0</v>
      </c>
      <c r="V62" s="58">
        <f t="shared" ca="1" si="5"/>
        <v>0</v>
      </c>
      <c r="W62" s="57"/>
      <c r="X62" s="61"/>
      <c r="Y62" s="62"/>
    </row>
    <row r="63" spans="1:25" s="59" customFormat="1" x14ac:dyDescent="0.25">
      <c r="A63" s="53"/>
      <c r="B63" s="54">
        <f>IF($B62="","",IF($B62+1&gt;dropdown!$D$12,"",Schema!B62+1))</f>
        <v>54</v>
      </c>
      <c r="C63" s="55">
        <f ca="1">IF($B62="","",IF($B62+1&gt;dropdown!$D$12,"",EOMONTH(C62,0)+1))</f>
        <v>46874</v>
      </c>
      <c r="D63" s="53"/>
      <c r="E63" s="55">
        <f ca="1">IF($B62="","",IF($B62+1&gt;dropdown!$D$12,"",F62+1))</f>
        <v>46844</v>
      </c>
      <c r="F63" s="55">
        <f ca="1">IF($B62="","",IF($B62+1&gt;dropdown!$D$12,"",EOMONTH(E63,0)))</f>
        <v>46873</v>
      </c>
      <c r="G63" s="56">
        <f ca="1">IF($B62="","",IF($B62+1&gt;dropdown!$D$12,"",(_xlfn.DAYS(F63,E63)+1)/DAY(F63)))</f>
        <v>1</v>
      </c>
      <c r="H63" s="57"/>
      <c r="I63" s="58">
        <f ca="1">IF($B62="","",IF($B62+1&gt;dropdown!$D$12,"",I62-J62))</f>
        <v>0</v>
      </c>
      <c r="J63" s="58">
        <f ca="1">IF($B62="","",IF($B62+1&gt;dropdown!$D$12,"",IF(B62&lt;dropdown!$D$13,0,IF(Aflossingsmethode="Lineair",Aflossingsbedrag,IF(Aflossingsmethode="Annuïteit",IFERROR(Bedrag_annuïteit-K63,0),0)))))</f>
        <v>0</v>
      </c>
      <c r="K63" s="58">
        <f ca="1">IF($B62="","",IF($B62+1&gt;dropdown!$D$12,"",G63*I63*Rentekosten))</f>
        <v>0</v>
      </c>
      <c r="L63" s="58">
        <f t="shared" ca="1" si="6"/>
        <v>0</v>
      </c>
      <c r="M63" s="58">
        <f t="shared" ca="1" si="0"/>
        <v>0</v>
      </c>
      <c r="N63" s="57"/>
      <c r="O63" s="60">
        <f t="shared" si="1"/>
        <v>8.2916666666666677E-3</v>
      </c>
      <c r="P63" s="60">
        <f t="shared" si="2"/>
        <v>1.2950765460359099E-2</v>
      </c>
      <c r="Q63" s="60">
        <f t="shared" ca="1" si="7"/>
        <v>0</v>
      </c>
      <c r="R63" s="57"/>
      <c r="S63" s="58">
        <f t="shared" ca="1" si="3"/>
        <v>0</v>
      </c>
      <c r="T63" s="58">
        <f t="shared" ca="1" si="4"/>
        <v>0</v>
      </c>
      <c r="U63" s="61">
        <f t="shared" ca="1" si="8"/>
        <v>0</v>
      </c>
      <c r="V63" s="58">
        <f t="shared" ca="1" si="5"/>
        <v>0</v>
      </c>
      <c r="W63" s="57"/>
      <c r="X63" s="61"/>
      <c r="Y63" s="62"/>
    </row>
    <row r="64" spans="1:25" s="59" customFormat="1" x14ac:dyDescent="0.25">
      <c r="A64" s="53"/>
      <c r="B64" s="54">
        <f>IF($B63="","",IF($B63+1&gt;dropdown!$D$12,"",Schema!B63+1))</f>
        <v>55</v>
      </c>
      <c r="C64" s="55">
        <f ca="1">IF($B63="","",IF($B63+1&gt;dropdown!$D$12,"",EOMONTH(C63,0)+1))</f>
        <v>46905</v>
      </c>
      <c r="D64" s="53"/>
      <c r="E64" s="55">
        <f ca="1">IF($B63="","",IF($B63+1&gt;dropdown!$D$12,"",F63+1))</f>
        <v>46874</v>
      </c>
      <c r="F64" s="55">
        <f ca="1">IF($B63="","",IF($B63+1&gt;dropdown!$D$12,"",EOMONTH(E64,0)))</f>
        <v>46904</v>
      </c>
      <c r="G64" s="56">
        <f ca="1">IF($B63="","",IF($B63+1&gt;dropdown!$D$12,"",(_xlfn.DAYS(F64,E64)+1)/DAY(F64)))</f>
        <v>1</v>
      </c>
      <c r="H64" s="57"/>
      <c r="I64" s="58">
        <f ca="1">IF($B63="","",IF($B63+1&gt;dropdown!$D$12,"",I63-J63))</f>
        <v>0</v>
      </c>
      <c r="J64" s="58">
        <f ca="1">IF($B63="","",IF($B63+1&gt;dropdown!$D$12,"",IF(B63&lt;dropdown!$D$13,0,IF(Aflossingsmethode="Lineair",Aflossingsbedrag,IF(Aflossingsmethode="Annuïteit",IFERROR(Bedrag_annuïteit-K64,0),0)))))</f>
        <v>0</v>
      </c>
      <c r="K64" s="58">
        <f ca="1">IF($B63="","",IF($B63+1&gt;dropdown!$D$12,"",G64*I64*Rentekosten))</f>
        <v>0</v>
      </c>
      <c r="L64" s="58">
        <f t="shared" ca="1" si="6"/>
        <v>0</v>
      </c>
      <c r="M64" s="58">
        <f t="shared" ca="1" si="0"/>
        <v>0</v>
      </c>
      <c r="N64" s="57"/>
      <c r="O64" s="60">
        <f t="shared" si="1"/>
        <v>8.2916666666666677E-3</v>
      </c>
      <c r="P64" s="60">
        <f t="shared" si="2"/>
        <v>1.3058148890634579E-2</v>
      </c>
      <c r="Q64" s="60">
        <f t="shared" ca="1" si="7"/>
        <v>0</v>
      </c>
      <c r="R64" s="57"/>
      <c r="S64" s="58">
        <f t="shared" ca="1" si="3"/>
        <v>0</v>
      </c>
      <c r="T64" s="58">
        <f t="shared" ca="1" si="4"/>
        <v>0</v>
      </c>
      <c r="U64" s="61">
        <f t="shared" ca="1" si="8"/>
        <v>0</v>
      </c>
      <c r="V64" s="58">
        <f t="shared" ca="1" si="5"/>
        <v>0</v>
      </c>
      <c r="W64" s="57"/>
      <c r="X64" s="61"/>
      <c r="Y64" s="62"/>
    </row>
    <row r="65" spans="1:25" s="59" customFormat="1" x14ac:dyDescent="0.25">
      <c r="A65" s="53"/>
      <c r="B65" s="54">
        <f>IF($B64="","",IF($B64+1&gt;dropdown!$D$12,"",Schema!B64+1))</f>
        <v>56</v>
      </c>
      <c r="C65" s="55">
        <f ca="1">IF($B64="","",IF($B64+1&gt;dropdown!$D$12,"",EOMONTH(C64,0)+1))</f>
        <v>46935</v>
      </c>
      <c r="D65" s="53"/>
      <c r="E65" s="55">
        <f ca="1">IF($B64="","",IF($B64+1&gt;dropdown!$D$12,"",F64+1))</f>
        <v>46905</v>
      </c>
      <c r="F65" s="55">
        <f ca="1">IF($B64="","",IF($B64+1&gt;dropdown!$D$12,"",EOMONTH(E65,0)))</f>
        <v>46934</v>
      </c>
      <c r="G65" s="56">
        <f ca="1">IF($B64="","",IF($B64+1&gt;dropdown!$D$12,"",(_xlfn.DAYS(F65,E65)+1)/DAY(F65)))</f>
        <v>1</v>
      </c>
      <c r="H65" s="57"/>
      <c r="I65" s="58">
        <f ca="1">IF($B64="","",IF($B64+1&gt;dropdown!$D$12,"",I64-J64))</f>
        <v>0</v>
      </c>
      <c r="J65" s="58">
        <f ca="1">IF($B64="","",IF($B64+1&gt;dropdown!$D$12,"",IF(B64&lt;dropdown!$D$13,0,IF(Aflossingsmethode="Lineair",Aflossingsbedrag,IF(Aflossingsmethode="Annuïteit",IFERROR(Bedrag_annuïteit-K65,0),0)))))</f>
        <v>0</v>
      </c>
      <c r="K65" s="58">
        <f ca="1">IF($B64="","",IF($B64+1&gt;dropdown!$D$12,"",G65*I65*Rentekosten))</f>
        <v>0</v>
      </c>
      <c r="L65" s="58">
        <f t="shared" ca="1" si="6"/>
        <v>0</v>
      </c>
      <c r="M65" s="58">
        <f t="shared" ca="1" si="0"/>
        <v>0</v>
      </c>
      <c r="N65" s="57"/>
      <c r="O65" s="60">
        <f t="shared" si="1"/>
        <v>8.2916666666666677E-3</v>
      </c>
      <c r="P65" s="60">
        <f t="shared" si="2"/>
        <v>1.3166422708519422E-2</v>
      </c>
      <c r="Q65" s="60">
        <f t="shared" ca="1" si="7"/>
        <v>0</v>
      </c>
      <c r="R65" s="57"/>
      <c r="S65" s="58">
        <f t="shared" ca="1" si="3"/>
        <v>0</v>
      </c>
      <c r="T65" s="58">
        <f t="shared" ca="1" si="4"/>
        <v>0</v>
      </c>
      <c r="U65" s="61">
        <f t="shared" ca="1" si="8"/>
        <v>0</v>
      </c>
      <c r="V65" s="58">
        <f t="shared" ca="1" si="5"/>
        <v>0</v>
      </c>
      <c r="W65" s="57"/>
      <c r="X65" s="61"/>
      <c r="Y65" s="62"/>
    </row>
    <row r="66" spans="1:25" s="59" customFormat="1" x14ac:dyDescent="0.25">
      <c r="A66" s="53"/>
      <c r="B66" s="54">
        <f>IF($B65="","",IF($B65+1&gt;dropdown!$D$12,"",Schema!B65+1))</f>
        <v>57</v>
      </c>
      <c r="C66" s="55">
        <f ca="1">IF($B65="","",IF($B65+1&gt;dropdown!$D$12,"",EOMONTH(C65,0)+1))</f>
        <v>46966</v>
      </c>
      <c r="D66" s="53"/>
      <c r="E66" s="55">
        <f ca="1">IF($B65="","",IF($B65+1&gt;dropdown!$D$12,"",F65+1))</f>
        <v>46935</v>
      </c>
      <c r="F66" s="55">
        <f ca="1">IF($B65="","",IF($B65+1&gt;dropdown!$D$12,"",EOMONTH(E66,0)))</f>
        <v>46965</v>
      </c>
      <c r="G66" s="56">
        <f ca="1">IF($B65="","",IF($B65+1&gt;dropdown!$D$12,"",(_xlfn.DAYS(F66,E66)+1)/DAY(F66)))</f>
        <v>1</v>
      </c>
      <c r="H66" s="57"/>
      <c r="I66" s="58">
        <f ca="1">IF($B65="","",IF($B65+1&gt;dropdown!$D$12,"",I65-J65))</f>
        <v>0</v>
      </c>
      <c r="J66" s="58">
        <f ca="1">IF($B65="","",IF($B65+1&gt;dropdown!$D$12,"",IF(B65&lt;dropdown!$D$13,0,IF(Aflossingsmethode="Lineair",Aflossingsbedrag,IF(Aflossingsmethode="Annuïteit",IFERROR(Bedrag_annuïteit-K66,0),0)))))</f>
        <v>0</v>
      </c>
      <c r="K66" s="58">
        <f ca="1">IF($B65="","",IF($B65+1&gt;dropdown!$D$12,"",G66*I66*Rentekosten))</f>
        <v>0</v>
      </c>
      <c r="L66" s="58">
        <f t="shared" ca="1" si="6"/>
        <v>0</v>
      </c>
      <c r="M66" s="58">
        <f t="shared" ca="1" si="0"/>
        <v>0</v>
      </c>
      <c r="N66" s="57"/>
      <c r="O66" s="60">
        <f t="shared" si="1"/>
        <v>8.2916666666666677E-3</v>
      </c>
      <c r="P66" s="60">
        <f t="shared" si="2"/>
        <v>1.3275594296810894E-2</v>
      </c>
      <c r="Q66" s="60">
        <f t="shared" ca="1" si="7"/>
        <v>0</v>
      </c>
      <c r="R66" s="57"/>
      <c r="S66" s="58">
        <f t="shared" ca="1" si="3"/>
        <v>0</v>
      </c>
      <c r="T66" s="58">
        <f t="shared" ca="1" si="4"/>
        <v>0</v>
      </c>
      <c r="U66" s="61">
        <f t="shared" ca="1" si="8"/>
        <v>0</v>
      </c>
      <c r="V66" s="58">
        <f t="shared" ca="1" si="5"/>
        <v>0</v>
      </c>
      <c r="W66" s="57"/>
      <c r="X66" s="61"/>
      <c r="Y66" s="62"/>
    </row>
    <row r="67" spans="1:25" s="59" customFormat="1" x14ac:dyDescent="0.25">
      <c r="A67" s="53"/>
      <c r="B67" s="54">
        <f>IF($B66="","",IF($B66+1&gt;dropdown!$D$12,"",Schema!B66+1))</f>
        <v>58</v>
      </c>
      <c r="C67" s="55">
        <f ca="1">IF($B66="","",IF($B66+1&gt;dropdown!$D$12,"",EOMONTH(C66,0)+1))</f>
        <v>46997</v>
      </c>
      <c r="D67" s="53"/>
      <c r="E67" s="55">
        <f ca="1">IF($B66="","",IF($B66+1&gt;dropdown!$D$12,"",F66+1))</f>
        <v>46966</v>
      </c>
      <c r="F67" s="55">
        <f ca="1">IF($B66="","",IF($B66+1&gt;dropdown!$D$12,"",EOMONTH(E67,0)))</f>
        <v>46996</v>
      </c>
      <c r="G67" s="56">
        <f ca="1">IF($B66="","",IF($B66+1&gt;dropdown!$D$12,"",(_xlfn.DAYS(F67,E67)+1)/DAY(F67)))</f>
        <v>1</v>
      </c>
      <c r="H67" s="57"/>
      <c r="I67" s="58">
        <f ca="1">IF($B66="","",IF($B66+1&gt;dropdown!$D$12,"",I66-J66))</f>
        <v>0</v>
      </c>
      <c r="J67" s="58">
        <f ca="1">IF($B66="","",IF($B66+1&gt;dropdown!$D$12,"",IF(B66&lt;dropdown!$D$13,0,IF(Aflossingsmethode="Lineair",Aflossingsbedrag,IF(Aflossingsmethode="Annuïteit",IFERROR(Bedrag_annuïteit-K67,0),0)))))</f>
        <v>0</v>
      </c>
      <c r="K67" s="58">
        <f ca="1">IF($B66="","",IF($B66+1&gt;dropdown!$D$12,"",G67*I67*Rentekosten))</f>
        <v>0</v>
      </c>
      <c r="L67" s="58">
        <f t="shared" ca="1" si="6"/>
        <v>0</v>
      </c>
      <c r="M67" s="58">
        <f t="shared" ca="1" si="0"/>
        <v>0</v>
      </c>
      <c r="N67" s="57"/>
      <c r="O67" s="60">
        <f t="shared" si="1"/>
        <v>8.2916666666666677E-3</v>
      </c>
      <c r="P67" s="60">
        <f t="shared" si="2"/>
        <v>1.338567109952195E-2</v>
      </c>
      <c r="Q67" s="60">
        <f t="shared" ca="1" si="7"/>
        <v>0</v>
      </c>
      <c r="R67" s="57"/>
      <c r="S67" s="58">
        <f t="shared" ca="1" si="3"/>
        <v>0</v>
      </c>
      <c r="T67" s="58">
        <f t="shared" ca="1" si="4"/>
        <v>0</v>
      </c>
      <c r="U67" s="61">
        <f t="shared" ca="1" si="8"/>
        <v>0</v>
      </c>
      <c r="V67" s="58">
        <f t="shared" ca="1" si="5"/>
        <v>0</v>
      </c>
      <c r="W67" s="57"/>
      <c r="X67" s="61"/>
      <c r="Y67" s="62"/>
    </row>
    <row r="68" spans="1:25" s="59" customFormat="1" x14ac:dyDescent="0.25">
      <c r="A68" s="53"/>
      <c r="B68" s="54">
        <f>IF($B67="","",IF($B67+1&gt;dropdown!$D$12,"",Schema!B67+1))</f>
        <v>59</v>
      </c>
      <c r="C68" s="55">
        <f ca="1">IF($B67="","",IF($B67+1&gt;dropdown!$D$12,"",EOMONTH(C67,0)+1))</f>
        <v>47027</v>
      </c>
      <c r="D68" s="53"/>
      <c r="E68" s="55">
        <f ca="1">IF($B67="","",IF($B67+1&gt;dropdown!$D$12,"",F67+1))</f>
        <v>46997</v>
      </c>
      <c r="F68" s="55">
        <f ca="1">IF($B67="","",IF($B67+1&gt;dropdown!$D$12,"",EOMONTH(E68,0)))</f>
        <v>47026</v>
      </c>
      <c r="G68" s="56">
        <f ca="1">IF($B67="","",IF($B67+1&gt;dropdown!$D$12,"",(_xlfn.DAYS(F68,E68)+1)/DAY(F68)))</f>
        <v>1</v>
      </c>
      <c r="H68" s="57"/>
      <c r="I68" s="58">
        <f ca="1">IF($B67="","",IF($B67+1&gt;dropdown!$D$12,"",I67-J67))</f>
        <v>0</v>
      </c>
      <c r="J68" s="58">
        <f ca="1">IF($B67="","",IF($B67+1&gt;dropdown!$D$12,"",IF(B67&lt;dropdown!$D$13,0,IF(Aflossingsmethode="Lineair",Aflossingsbedrag,IF(Aflossingsmethode="Annuïteit",IFERROR(Bedrag_annuïteit-K68,0),0)))))</f>
        <v>0</v>
      </c>
      <c r="K68" s="58">
        <f ca="1">IF($B67="","",IF($B67+1&gt;dropdown!$D$12,"",G68*I68*Rentekosten))</f>
        <v>0</v>
      </c>
      <c r="L68" s="58">
        <f t="shared" ca="1" si="6"/>
        <v>0</v>
      </c>
      <c r="M68" s="58">
        <f t="shared" ca="1" si="0"/>
        <v>0</v>
      </c>
      <c r="N68" s="57"/>
      <c r="O68" s="60">
        <f t="shared" si="1"/>
        <v>8.2916666666666677E-3</v>
      </c>
      <c r="P68" s="60">
        <f t="shared" si="2"/>
        <v>1.349666062238882E-2</v>
      </c>
      <c r="Q68" s="60">
        <f t="shared" ca="1" si="7"/>
        <v>0</v>
      </c>
      <c r="R68" s="57"/>
      <c r="S68" s="58">
        <f t="shared" ca="1" si="3"/>
        <v>0</v>
      </c>
      <c r="T68" s="58">
        <f t="shared" ca="1" si="4"/>
        <v>0</v>
      </c>
      <c r="U68" s="61">
        <f t="shared" ca="1" si="8"/>
        <v>0</v>
      </c>
      <c r="V68" s="58">
        <f t="shared" ca="1" si="5"/>
        <v>0</v>
      </c>
      <c r="W68" s="57"/>
      <c r="X68" s="61"/>
      <c r="Y68" s="62"/>
    </row>
    <row r="69" spans="1:25" s="59" customFormat="1" x14ac:dyDescent="0.25">
      <c r="A69" s="53"/>
      <c r="B69" s="54">
        <f>IF($B68="","",IF($B68+1&gt;dropdown!$D$12,"",Schema!B68+1))</f>
        <v>60</v>
      </c>
      <c r="C69" s="55">
        <f ca="1">IF($B68="","",IF($B68+1&gt;dropdown!$D$12,"",EOMONTH(C68,0)+1))</f>
        <v>47058</v>
      </c>
      <c r="D69" s="53"/>
      <c r="E69" s="55">
        <f ca="1">IF($B68="","",IF($B68+1&gt;dropdown!$D$12,"",F68+1))</f>
        <v>47027</v>
      </c>
      <c r="F69" s="55">
        <f ca="1">IF($B68="","",IF($B68+1&gt;dropdown!$D$12,"",EOMONTH(E69,0)))</f>
        <v>47057</v>
      </c>
      <c r="G69" s="56">
        <f ca="1">IF($B68="","",IF($B68+1&gt;dropdown!$D$12,"",(_xlfn.DAYS(F69,E69)+1)/DAY(F69)))</f>
        <v>1</v>
      </c>
      <c r="H69" s="57"/>
      <c r="I69" s="58">
        <f ca="1">IF($B68="","",IF($B68+1&gt;dropdown!$D$12,"",I68-J68))</f>
        <v>0</v>
      </c>
      <c r="J69" s="58">
        <f ca="1">IF($B68="","",IF($B68+1&gt;dropdown!$D$12,"",IF(B68&lt;dropdown!$D$13,0,IF(Aflossingsmethode="Lineair",Aflossingsbedrag,IF(Aflossingsmethode="Annuïteit",IFERROR(Bedrag_annuïteit-K69,0),0)))))</f>
        <v>0</v>
      </c>
      <c r="K69" s="58">
        <f ca="1">IF($B68="","",IF($B68+1&gt;dropdown!$D$12,"",G69*I69*Rentekosten))</f>
        <v>0</v>
      </c>
      <c r="L69" s="58">
        <f t="shared" ca="1" si="6"/>
        <v>0</v>
      </c>
      <c r="M69" s="58">
        <f t="shared" ca="1" si="0"/>
        <v>0</v>
      </c>
      <c r="N69" s="57"/>
      <c r="O69" s="60">
        <f t="shared" si="1"/>
        <v>8.2916666666666677E-3</v>
      </c>
      <c r="P69" s="60">
        <f t="shared" si="2"/>
        <v>1.360857043338279E-2</v>
      </c>
      <c r="Q69" s="60">
        <f t="shared" ca="1" si="7"/>
        <v>0</v>
      </c>
      <c r="R69" s="57"/>
      <c r="S69" s="58">
        <f t="shared" ca="1" si="3"/>
        <v>0</v>
      </c>
      <c r="T69" s="58">
        <f t="shared" ca="1" si="4"/>
        <v>0</v>
      </c>
      <c r="U69" s="61">
        <f t="shared" ca="1" si="8"/>
        <v>0</v>
      </c>
      <c r="V69" s="58">
        <f t="shared" ca="1" si="5"/>
        <v>0</v>
      </c>
      <c r="W69" s="57"/>
    </row>
    <row r="70" spans="1:25" s="59" customFormat="1" x14ac:dyDescent="0.25">
      <c r="A70" s="53"/>
      <c r="B70" s="54" t="str">
        <f>IF($B69="","",IF($B69+1&gt;dropdown!$D$12,"",Schema!B69+1))</f>
        <v/>
      </c>
      <c r="C70" s="55" t="str">
        <f>IF($B69="","",IF($B69+1&gt;dropdown!$D$12,"",EOMONTH(C69,0)+1))</f>
        <v/>
      </c>
      <c r="D70" s="53"/>
      <c r="E70" s="55" t="str">
        <f>IF($B69="","",IF($B69+1&gt;dropdown!$D$12,"",F69+1))</f>
        <v/>
      </c>
      <c r="F70" s="55" t="str">
        <f>IF($B69="","",IF($B69+1&gt;dropdown!$D$12,"",EOMONTH(E70,0)))</f>
        <v/>
      </c>
      <c r="G70" s="56" t="str">
        <f>IF($B69="","",IF($B69+1&gt;dropdown!$D$12,"",(_xlfn.DAYS(F70,E70)+1)/DAY(F70)))</f>
        <v/>
      </c>
      <c r="H70" s="57"/>
      <c r="I70" s="58" t="str">
        <f>IF($B69="","",IF($B69+1&gt;dropdown!$D$12,"",I69-J69))</f>
        <v/>
      </c>
      <c r="J70" s="58" t="str">
        <f>IF($B69="","",IF($B69+1&gt;dropdown!$D$12,"",IF(B69&lt;dropdown!$D$13,0,IF(Aflossingsmethode="Lineair",Aflossingsbedrag,IF(Aflossingsmethode="Annuïteit",IFERROR(Bedrag_annuïteit-K70,0),0)))))</f>
        <v/>
      </c>
      <c r="K70" s="58" t="str">
        <f>IF($B69="","",IF($B69+1&gt;dropdown!$D$12,"",G70*I70*Rentekosten))</f>
        <v/>
      </c>
      <c r="L70" s="58" t="str">
        <f t="shared" si="6"/>
        <v/>
      </c>
      <c r="M70" s="58" t="str">
        <f t="shared" si="0"/>
        <v/>
      </c>
      <c r="N70" s="57"/>
      <c r="O70" s="60" t="str">
        <f t="shared" si="1"/>
        <v/>
      </c>
      <c r="P70" s="60" t="str">
        <f t="shared" si="2"/>
        <v/>
      </c>
      <c r="Q70" s="60" t="str">
        <f t="shared" si="7"/>
        <v/>
      </c>
      <c r="R70" s="57"/>
      <c r="S70" s="58" t="str">
        <f t="shared" si="3"/>
        <v/>
      </c>
      <c r="T70" s="58" t="str">
        <f t="shared" si="4"/>
        <v/>
      </c>
      <c r="U70" s="61" t="str">
        <f t="shared" si="8"/>
        <v/>
      </c>
      <c r="V70" s="58" t="str">
        <f t="shared" si="5"/>
        <v/>
      </c>
      <c r="W70" s="57"/>
    </row>
    <row r="71" spans="1:25" s="59" customFormat="1" x14ac:dyDescent="0.25">
      <c r="A71" s="53"/>
      <c r="B71" s="54" t="str">
        <f>IF($B70="","",IF($B70+1&gt;dropdown!$D$12,"",Schema!B70+1))</f>
        <v/>
      </c>
      <c r="C71" s="55" t="str">
        <f>IF($B70="","",IF($B70+1&gt;dropdown!$D$12,"",EOMONTH(C70,0)+1))</f>
        <v/>
      </c>
      <c r="D71" s="53"/>
      <c r="E71" s="55" t="str">
        <f>IF($B70="","",IF($B70+1&gt;dropdown!$D$12,"",F70+1))</f>
        <v/>
      </c>
      <c r="F71" s="55" t="str">
        <f>IF($B70="","",IF($B70+1&gt;dropdown!$D$12,"",EOMONTH(E71,0)))</f>
        <v/>
      </c>
      <c r="G71" s="56" t="str">
        <f>IF($B70="","",IF($B70+1&gt;dropdown!$D$12,"",(_xlfn.DAYS(F71,E71)+1)/DAY(F71)))</f>
        <v/>
      </c>
      <c r="H71" s="57"/>
      <c r="I71" s="58" t="str">
        <f>IF($B70="","",IF($B70+1&gt;dropdown!$D$12,"",I70-J70))</f>
        <v/>
      </c>
      <c r="J71" s="58" t="str">
        <f>IF($B70="","",IF($B70+1&gt;dropdown!$D$12,"",IF(B70&lt;dropdown!$D$13,0,IF(Aflossingsmethode="Lineair",Aflossingsbedrag,IF(Aflossingsmethode="Annuïteit",IFERROR(Bedrag_annuïteit-K71,0),0)))))</f>
        <v/>
      </c>
      <c r="K71" s="58" t="str">
        <f>IF($B70="","",IF($B70+1&gt;dropdown!$D$12,"",G71*I71*Rentekosten))</f>
        <v/>
      </c>
      <c r="L71" s="58" t="str">
        <f t="shared" si="6"/>
        <v/>
      </c>
      <c r="M71" s="58" t="str">
        <f t="shared" si="0"/>
        <v/>
      </c>
      <c r="N71" s="57"/>
      <c r="O71" s="60" t="str">
        <f t="shared" si="1"/>
        <v/>
      </c>
      <c r="P71" s="60" t="str">
        <f t="shared" si="2"/>
        <v/>
      </c>
      <c r="Q71" s="60" t="str">
        <f t="shared" si="7"/>
        <v/>
      </c>
      <c r="R71" s="57"/>
      <c r="S71" s="58" t="str">
        <f t="shared" si="3"/>
        <v/>
      </c>
      <c r="T71" s="58" t="str">
        <f t="shared" si="4"/>
        <v/>
      </c>
      <c r="U71" s="61" t="str">
        <f t="shared" si="8"/>
        <v/>
      </c>
      <c r="V71" s="58" t="str">
        <f t="shared" si="5"/>
        <v/>
      </c>
      <c r="W71" s="57"/>
    </row>
    <row r="72" spans="1:25" s="59" customFormat="1" x14ac:dyDescent="0.25">
      <c r="A72" s="53"/>
      <c r="B72" s="54" t="str">
        <f>IF($B71="","",IF($B71+1&gt;dropdown!$D$12,"",Schema!B71+1))</f>
        <v/>
      </c>
      <c r="C72" s="55" t="str">
        <f>IF($B71="","",IF($B71+1&gt;dropdown!$D$12,"",EOMONTH(C71,0)+1))</f>
        <v/>
      </c>
      <c r="D72" s="53"/>
      <c r="E72" s="55" t="str">
        <f>IF($B71="","",IF($B71+1&gt;dropdown!$D$12,"",F71+1))</f>
        <v/>
      </c>
      <c r="F72" s="55" t="str">
        <f>IF($B71="","",IF($B71+1&gt;dropdown!$D$12,"",EOMONTH(E72,0)))</f>
        <v/>
      </c>
      <c r="G72" s="56" t="str">
        <f>IF($B71="","",IF($B71+1&gt;dropdown!$D$12,"",(_xlfn.DAYS(F72,E72)+1)/DAY(F72)))</f>
        <v/>
      </c>
      <c r="H72" s="57"/>
      <c r="I72" s="58" t="str">
        <f>IF($B71="","",IF($B71+1&gt;dropdown!$D$12,"",I71-J71))</f>
        <v/>
      </c>
      <c r="J72" s="58" t="str">
        <f>IF($B71="","",IF($B71+1&gt;dropdown!$D$12,"",IF(B71&lt;dropdown!$D$13,0,IF(Aflossingsmethode="Lineair",Aflossingsbedrag,IF(Aflossingsmethode="Annuïteit",IFERROR(Bedrag_annuïteit-K72,0),0)))))</f>
        <v/>
      </c>
      <c r="K72" s="58" t="str">
        <f>IF($B71="","",IF($B71+1&gt;dropdown!$D$12,"",G72*I72*Rentekosten))</f>
        <v/>
      </c>
      <c r="L72" s="58" t="str">
        <f t="shared" si="6"/>
        <v/>
      </c>
      <c r="M72" s="58" t="str">
        <f t="shared" si="0"/>
        <v/>
      </c>
      <c r="N72" s="57"/>
      <c r="O72" s="60" t="str">
        <f t="shared" si="1"/>
        <v/>
      </c>
      <c r="P72" s="60" t="str">
        <f t="shared" si="2"/>
        <v/>
      </c>
      <c r="Q72" s="60" t="str">
        <f t="shared" si="7"/>
        <v/>
      </c>
      <c r="R72" s="57"/>
      <c r="S72" s="58" t="str">
        <f t="shared" si="3"/>
        <v/>
      </c>
      <c r="T72" s="58" t="str">
        <f t="shared" si="4"/>
        <v/>
      </c>
      <c r="U72" s="61" t="str">
        <f t="shared" si="8"/>
        <v/>
      </c>
      <c r="V72" s="58" t="str">
        <f t="shared" si="5"/>
        <v/>
      </c>
      <c r="W72" s="57"/>
    </row>
    <row r="73" spans="1:25" s="59" customFormat="1" x14ac:dyDescent="0.25">
      <c r="A73" s="53"/>
      <c r="B73" s="54" t="str">
        <f>IF($B72="","",IF($B72+1&gt;dropdown!$D$12,"",Schema!B72+1))</f>
        <v/>
      </c>
      <c r="C73" s="55" t="str">
        <f>IF($B72="","",IF($B72+1&gt;dropdown!$D$12,"",EOMONTH(C72,0)+1))</f>
        <v/>
      </c>
      <c r="D73" s="53"/>
      <c r="E73" s="55" t="str">
        <f>IF($B72="","",IF($B72+1&gt;dropdown!$D$12,"",F72+1))</f>
        <v/>
      </c>
      <c r="F73" s="55" t="str">
        <f>IF($B72="","",IF($B72+1&gt;dropdown!$D$12,"",EOMONTH(E73,0)))</f>
        <v/>
      </c>
      <c r="G73" s="56" t="str">
        <f>IF($B72="","",IF($B72+1&gt;dropdown!$D$12,"",(_xlfn.DAYS(F73,E73)+1)/DAY(F73)))</f>
        <v/>
      </c>
      <c r="H73" s="57"/>
      <c r="I73" s="58" t="str">
        <f>IF($B72="","",IF($B72+1&gt;dropdown!$D$12,"",I72-J72))</f>
        <v/>
      </c>
      <c r="J73" s="58" t="str">
        <f>IF($B72="","",IF($B72+1&gt;dropdown!$D$12,"",IF(B72&lt;dropdown!$D$13,0,IF(Aflossingsmethode="Lineair",Aflossingsbedrag,IF(Aflossingsmethode="Annuïteit",IFERROR(Bedrag_annuïteit-K73,0),0)))))</f>
        <v/>
      </c>
      <c r="K73" s="58" t="str">
        <f>IF($B72="","",IF($B72+1&gt;dropdown!$D$12,"",G73*I73*Rentekosten))</f>
        <v/>
      </c>
      <c r="L73" s="58" t="str">
        <f t="shared" si="6"/>
        <v/>
      </c>
      <c r="M73" s="58" t="str">
        <f t="shared" si="0"/>
        <v/>
      </c>
      <c r="N73" s="57"/>
      <c r="O73" s="60" t="str">
        <f t="shared" si="1"/>
        <v/>
      </c>
      <c r="P73" s="60" t="str">
        <f t="shared" si="2"/>
        <v/>
      </c>
      <c r="Q73" s="60" t="str">
        <f t="shared" si="7"/>
        <v/>
      </c>
      <c r="R73" s="57"/>
      <c r="S73" s="58" t="str">
        <f t="shared" si="3"/>
        <v/>
      </c>
      <c r="T73" s="58" t="str">
        <f t="shared" si="4"/>
        <v/>
      </c>
      <c r="U73" s="61" t="str">
        <f t="shared" si="8"/>
        <v/>
      </c>
      <c r="V73" s="58" t="str">
        <f t="shared" si="5"/>
        <v/>
      </c>
      <c r="W73" s="57"/>
    </row>
    <row r="74" spans="1:25" s="59" customFormat="1" x14ac:dyDescent="0.25">
      <c r="A74" s="53"/>
      <c r="B74" s="54" t="str">
        <f>IF($B73="","",IF($B73+1&gt;dropdown!$D$12,"",Schema!B73+1))</f>
        <v/>
      </c>
      <c r="C74" s="55" t="str">
        <f>IF($B73="","",IF($B73+1&gt;dropdown!$D$12,"",EOMONTH(C73,0)+1))</f>
        <v/>
      </c>
      <c r="D74" s="53"/>
      <c r="E74" s="55" t="str">
        <f>IF($B73="","",IF($B73+1&gt;dropdown!$D$12,"",F73+1))</f>
        <v/>
      </c>
      <c r="F74" s="55" t="str">
        <f>IF($B73="","",IF($B73+1&gt;dropdown!$D$12,"",EOMONTH(E74,0)))</f>
        <v/>
      </c>
      <c r="G74" s="56" t="str">
        <f>IF($B73="","",IF($B73+1&gt;dropdown!$D$12,"",(_xlfn.DAYS(F74,E74)+1)/DAY(F74)))</f>
        <v/>
      </c>
      <c r="H74" s="57"/>
      <c r="I74" s="58" t="str">
        <f>IF($B73="","",IF($B73+1&gt;dropdown!$D$12,"",I73-J73))</f>
        <v/>
      </c>
      <c r="J74" s="58" t="str">
        <f>IF($B73="","",IF($B73+1&gt;dropdown!$D$12,"",IF(B73&lt;dropdown!$D$13,0,IF(Aflossingsmethode="Lineair",Aflossingsbedrag,IF(Aflossingsmethode="Annuïteit",IFERROR(Bedrag_annuïteit-K74,0),0)))))</f>
        <v/>
      </c>
      <c r="K74" s="58" t="str">
        <f>IF($B73="","",IF($B73+1&gt;dropdown!$D$12,"",G74*I74*Rentekosten))</f>
        <v/>
      </c>
      <c r="L74" s="58" t="str">
        <f t="shared" si="6"/>
        <v/>
      </c>
      <c r="M74" s="58" t="str">
        <f t="shared" ref="M74:M137" si="9">IF(S74="","",-K74-J74)</f>
        <v/>
      </c>
      <c r="N74" s="57"/>
      <c r="O74" s="60" t="str">
        <f t="shared" ref="O74:O137" si="10">IF($B74="","",Rentekosten)</f>
        <v/>
      </c>
      <c r="P74" s="60" t="str">
        <f t="shared" ref="P74:P137" si="11">IF($B74="","",Rentekosten*(POWER(1+Rentekosten,$B74-1+1)))</f>
        <v/>
      </c>
      <c r="Q74" s="60" t="str">
        <f t="shared" si="7"/>
        <v/>
      </c>
      <c r="R74" s="57"/>
      <c r="S74" s="58" t="str">
        <f t="shared" ref="S74:S137" si="12">IF(B74="","",IF(S73-T73&lt;0,"",S73-T73))</f>
        <v/>
      </c>
      <c r="T74" s="58" t="str">
        <f t="shared" ref="T74:T137" si="13">IF(S74="","",J74/(POWER(1+Rentekosten,$B74-1+1)))</f>
        <v/>
      </c>
      <c r="U74" s="61" t="str">
        <f t="shared" si="8"/>
        <v/>
      </c>
      <c r="V74" s="58" t="str">
        <f t="shared" ref="V74:V137" si="14">IF($B74="","",K74/(POWER(1+Rentekosten,$B74-1+1)))</f>
        <v/>
      </c>
      <c r="W74" s="57"/>
    </row>
    <row r="75" spans="1:25" s="59" customFormat="1" x14ac:dyDescent="0.25">
      <c r="A75" s="53"/>
      <c r="B75" s="54" t="str">
        <f>IF($B74="","",IF($B74+1&gt;dropdown!$D$12,"",Schema!B74+1))</f>
        <v/>
      </c>
      <c r="C75" s="55" t="str">
        <f>IF($B74="","",IF($B74+1&gt;dropdown!$D$12,"",EOMONTH(C74,0)+1))</f>
        <v/>
      </c>
      <c r="D75" s="53"/>
      <c r="E75" s="55" t="str">
        <f>IF($B74="","",IF($B74+1&gt;dropdown!$D$12,"",F74+1))</f>
        <v/>
      </c>
      <c r="F75" s="55" t="str">
        <f>IF($B74="","",IF($B74+1&gt;dropdown!$D$12,"",EOMONTH(E75,0)))</f>
        <v/>
      </c>
      <c r="G75" s="56" t="str">
        <f>IF($B74="","",IF($B74+1&gt;dropdown!$D$12,"",(_xlfn.DAYS(F75,E75)+1)/DAY(F75)))</f>
        <v/>
      </c>
      <c r="H75" s="57"/>
      <c r="I75" s="58" t="str">
        <f>IF($B74="","",IF($B74+1&gt;dropdown!$D$12,"",I74-J74))</f>
        <v/>
      </c>
      <c r="J75" s="58" t="str">
        <f>IF($B74="","",IF($B74+1&gt;dropdown!$D$12,"",IF(B74&lt;dropdown!$D$13,0,IF(Aflossingsmethode="Lineair",Aflossingsbedrag,IF(Aflossingsmethode="Annuïteit",IFERROR(Bedrag_annuïteit-K75,0),0)))))</f>
        <v/>
      </c>
      <c r="K75" s="58" t="str">
        <f>IF($B74="","",IF($B74+1&gt;dropdown!$D$12,"",G75*I75*Rentekosten))</f>
        <v/>
      </c>
      <c r="L75" s="58" t="str">
        <f t="shared" ref="L75:L138" si="15">IF(S75="","",-K75-J75)</f>
        <v/>
      </c>
      <c r="M75" s="58" t="str">
        <f t="shared" si="9"/>
        <v/>
      </c>
      <c r="N75" s="57"/>
      <c r="O75" s="60" t="str">
        <f t="shared" si="10"/>
        <v/>
      </c>
      <c r="P75" s="60" t="str">
        <f t="shared" si="11"/>
        <v/>
      </c>
      <c r="Q75" s="60" t="str">
        <f t="shared" ref="Q75:Q138" si="16">IF($B75="","",IFERROR(J75/T75-1,0))</f>
        <v/>
      </c>
      <c r="R75" s="57"/>
      <c r="S75" s="58" t="str">
        <f t="shared" si="12"/>
        <v/>
      </c>
      <c r="T75" s="58" t="str">
        <f t="shared" si="13"/>
        <v/>
      </c>
      <c r="U75" s="61" t="str">
        <f t="shared" ref="U75:U138" si="17">IF(S75="","",T75+V75)</f>
        <v/>
      </c>
      <c r="V75" s="58" t="str">
        <f t="shared" si="14"/>
        <v/>
      </c>
      <c r="W75" s="57"/>
    </row>
    <row r="76" spans="1:25" s="59" customFormat="1" x14ac:dyDescent="0.25">
      <c r="A76" s="53"/>
      <c r="B76" s="54" t="str">
        <f>IF($B75="","",IF($B75+1&gt;dropdown!$D$12,"",Schema!B75+1))</f>
        <v/>
      </c>
      <c r="C76" s="55" t="str">
        <f>IF($B75="","",IF($B75+1&gt;dropdown!$D$12,"",EOMONTH(C75,0)+1))</f>
        <v/>
      </c>
      <c r="D76" s="53"/>
      <c r="E76" s="55" t="str">
        <f>IF($B75="","",IF($B75+1&gt;dropdown!$D$12,"",F75+1))</f>
        <v/>
      </c>
      <c r="F76" s="55" t="str">
        <f>IF($B75="","",IF($B75+1&gt;dropdown!$D$12,"",EOMONTH(E76,0)))</f>
        <v/>
      </c>
      <c r="G76" s="56" t="str">
        <f>IF($B75="","",IF($B75+1&gt;dropdown!$D$12,"",(_xlfn.DAYS(F76,E76)+1)/DAY(F76)))</f>
        <v/>
      </c>
      <c r="H76" s="57"/>
      <c r="I76" s="58" t="str">
        <f>IF($B75="","",IF($B75+1&gt;dropdown!$D$12,"",I75-J75))</f>
        <v/>
      </c>
      <c r="J76" s="58" t="str">
        <f>IF($B75="","",IF($B75+1&gt;dropdown!$D$12,"",IF(B75&lt;dropdown!$D$13,0,IF(Aflossingsmethode="Lineair",Aflossingsbedrag,IF(Aflossingsmethode="Annuïteit",IFERROR(Bedrag_annuïteit-K76,0),0)))))</f>
        <v/>
      </c>
      <c r="K76" s="58" t="str">
        <f>IF($B75="","",IF($B75+1&gt;dropdown!$D$12,"",G76*I76*Rentekosten))</f>
        <v/>
      </c>
      <c r="L76" s="58" t="str">
        <f t="shared" si="15"/>
        <v/>
      </c>
      <c r="M76" s="58" t="str">
        <f t="shared" si="9"/>
        <v/>
      </c>
      <c r="N76" s="57"/>
      <c r="O76" s="60" t="str">
        <f t="shared" si="10"/>
        <v/>
      </c>
      <c r="P76" s="60" t="str">
        <f t="shared" si="11"/>
        <v/>
      </c>
      <c r="Q76" s="60" t="str">
        <f t="shared" si="16"/>
        <v/>
      </c>
      <c r="R76" s="57"/>
      <c r="S76" s="58" t="str">
        <f t="shared" si="12"/>
        <v/>
      </c>
      <c r="T76" s="58" t="str">
        <f t="shared" si="13"/>
        <v/>
      </c>
      <c r="U76" s="61" t="str">
        <f t="shared" si="17"/>
        <v/>
      </c>
      <c r="V76" s="58" t="str">
        <f t="shared" si="14"/>
        <v/>
      </c>
      <c r="W76" s="57"/>
    </row>
    <row r="77" spans="1:25" s="59" customFormat="1" x14ac:dyDescent="0.25">
      <c r="A77" s="53"/>
      <c r="B77" s="54" t="str">
        <f>IF($B76="","",IF($B76+1&gt;dropdown!$D$12,"",Schema!B76+1))</f>
        <v/>
      </c>
      <c r="C77" s="55" t="str">
        <f>IF($B76="","",IF($B76+1&gt;dropdown!$D$12,"",EOMONTH(C76,0)+1))</f>
        <v/>
      </c>
      <c r="D77" s="53"/>
      <c r="E77" s="55" t="str">
        <f>IF($B76="","",IF($B76+1&gt;dropdown!$D$12,"",F76+1))</f>
        <v/>
      </c>
      <c r="F77" s="55" t="str">
        <f>IF($B76="","",IF($B76+1&gt;dropdown!$D$12,"",EOMONTH(E77,0)))</f>
        <v/>
      </c>
      <c r="G77" s="56" t="str">
        <f>IF($B76="","",IF($B76+1&gt;dropdown!$D$12,"",(_xlfn.DAYS(F77,E77)+1)/DAY(F77)))</f>
        <v/>
      </c>
      <c r="H77" s="57"/>
      <c r="I77" s="58" t="str">
        <f>IF($B76="","",IF($B76+1&gt;dropdown!$D$12,"",I76-J76))</f>
        <v/>
      </c>
      <c r="J77" s="58" t="str">
        <f>IF($B76="","",IF($B76+1&gt;dropdown!$D$12,"",IF(B76&lt;dropdown!$D$13,0,IF(Aflossingsmethode="Lineair",Aflossingsbedrag,IF(Aflossingsmethode="Annuïteit",IFERROR(Bedrag_annuïteit-K77,0),0)))))</f>
        <v/>
      </c>
      <c r="K77" s="58" t="str">
        <f>IF($B76="","",IF($B76+1&gt;dropdown!$D$12,"",G77*I77*Rentekosten))</f>
        <v/>
      </c>
      <c r="L77" s="58" t="str">
        <f t="shared" si="15"/>
        <v/>
      </c>
      <c r="M77" s="58" t="str">
        <f t="shared" si="9"/>
        <v/>
      </c>
      <c r="N77" s="57"/>
      <c r="O77" s="60" t="str">
        <f t="shared" si="10"/>
        <v/>
      </c>
      <c r="P77" s="60" t="str">
        <f t="shared" si="11"/>
        <v/>
      </c>
      <c r="Q77" s="60" t="str">
        <f t="shared" si="16"/>
        <v/>
      </c>
      <c r="R77" s="57"/>
      <c r="S77" s="58" t="str">
        <f t="shared" si="12"/>
        <v/>
      </c>
      <c r="T77" s="58" t="str">
        <f t="shared" si="13"/>
        <v/>
      </c>
      <c r="U77" s="61" t="str">
        <f t="shared" si="17"/>
        <v/>
      </c>
      <c r="V77" s="58" t="str">
        <f t="shared" si="14"/>
        <v/>
      </c>
      <c r="W77" s="57"/>
    </row>
    <row r="78" spans="1:25" s="59" customFormat="1" x14ac:dyDescent="0.25">
      <c r="A78" s="53"/>
      <c r="B78" s="54" t="str">
        <f>IF($B77="","",IF($B77+1&gt;dropdown!$D$12,"",Schema!B77+1))</f>
        <v/>
      </c>
      <c r="C78" s="55" t="str">
        <f>IF($B77="","",IF($B77+1&gt;dropdown!$D$12,"",EOMONTH(C77,0)+1))</f>
        <v/>
      </c>
      <c r="D78" s="53"/>
      <c r="E78" s="55" t="str">
        <f>IF($B77="","",IF($B77+1&gt;dropdown!$D$12,"",F77+1))</f>
        <v/>
      </c>
      <c r="F78" s="55" t="str">
        <f>IF($B77="","",IF($B77+1&gt;dropdown!$D$12,"",EOMONTH(E78,0)))</f>
        <v/>
      </c>
      <c r="G78" s="56" t="str">
        <f>IF($B77="","",IF($B77+1&gt;dropdown!$D$12,"",(_xlfn.DAYS(F78,E78)+1)/DAY(F78)))</f>
        <v/>
      </c>
      <c r="H78" s="57"/>
      <c r="I78" s="58" t="str">
        <f>IF($B77="","",IF($B77+1&gt;dropdown!$D$12,"",I77-J77))</f>
        <v/>
      </c>
      <c r="J78" s="58" t="str">
        <f>IF($B77="","",IF($B77+1&gt;dropdown!$D$12,"",IF(B77&lt;dropdown!$D$13,0,IF(Aflossingsmethode="Lineair",Aflossingsbedrag,IF(Aflossingsmethode="Annuïteit",IFERROR(Bedrag_annuïteit-K78,0),0)))))</f>
        <v/>
      </c>
      <c r="K78" s="58" t="str">
        <f>IF($B77="","",IF($B77+1&gt;dropdown!$D$12,"",G78*I78*Rentekosten))</f>
        <v/>
      </c>
      <c r="L78" s="58" t="str">
        <f t="shared" si="15"/>
        <v/>
      </c>
      <c r="M78" s="58" t="str">
        <f t="shared" si="9"/>
        <v/>
      </c>
      <c r="N78" s="57"/>
      <c r="O78" s="60" t="str">
        <f t="shared" si="10"/>
        <v/>
      </c>
      <c r="P78" s="60" t="str">
        <f t="shared" si="11"/>
        <v/>
      </c>
      <c r="Q78" s="60" t="str">
        <f t="shared" si="16"/>
        <v/>
      </c>
      <c r="R78" s="57"/>
      <c r="S78" s="58" t="str">
        <f t="shared" si="12"/>
        <v/>
      </c>
      <c r="T78" s="58" t="str">
        <f t="shared" si="13"/>
        <v/>
      </c>
      <c r="U78" s="61" t="str">
        <f t="shared" si="17"/>
        <v/>
      </c>
      <c r="V78" s="58" t="str">
        <f t="shared" si="14"/>
        <v/>
      </c>
      <c r="W78" s="57"/>
    </row>
    <row r="79" spans="1:25" s="59" customFormat="1" x14ac:dyDescent="0.25">
      <c r="A79" s="53"/>
      <c r="B79" s="54" t="str">
        <f>IF($B78="","",IF($B78+1&gt;dropdown!$D$12,"",Schema!B78+1))</f>
        <v/>
      </c>
      <c r="C79" s="55" t="str">
        <f>IF($B78="","",IF($B78+1&gt;dropdown!$D$12,"",EOMONTH(C78,0)+1))</f>
        <v/>
      </c>
      <c r="D79" s="53"/>
      <c r="E79" s="55" t="str">
        <f>IF($B78="","",IF($B78+1&gt;dropdown!$D$12,"",F78+1))</f>
        <v/>
      </c>
      <c r="F79" s="55" t="str">
        <f>IF($B78="","",IF($B78+1&gt;dropdown!$D$12,"",EOMONTH(E79,0)))</f>
        <v/>
      </c>
      <c r="G79" s="56" t="str">
        <f>IF($B78="","",IF($B78+1&gt;dropdown!$D$12,"",(_xlfn.DAYS(F79,E79)+1)/DAY(F79)))</f>
        <v/>
      </c>
      <c r="H79" s="57"/>
      <c r="I79" s="58" t="str">
        <f>IF($B78="","",IF($B78+1&gt;dropdown!$D$12,"",I78-J78))</f>
        <v/>
      </c>
      <c r="J79" s="58" t="str">
        <f>IF($B78="","",IF($B78+1&gt;dropdown!$D$12,"",IF(B78&lt;dropdown!$D$13,0,IF(Aflossingsmethode="Lineair",Aflossingsbedrag,IF(Aflossingsmethode="Annuïteit",IFERROR(Bedrag_annuïteit-K79,0),0)))))</f>
        <v/>
      </c>
      <c r="K79" s="58" t="str">
        <f>IF($B78="","",IF($B78+1&gt;dropdown!$D$12,"",G79*I79*Rentekosten))</f>
        <v/>
      </c>
      <c r="L79" s="58" t="str">
        <f t="shared" si="15"/>
        <v/>
      </c>
      <c r="M79" s="58" t="str">
        <f t="shared" si="9"/>
        <v/>
      </c>
      <c r="N79" s="57"/>
      <c r="O79" s="60" t="str">
        <f t="shared" si="10"/>
        <v/>
      </c>
      <c r="P79" s="60" t="str">
        <f t="shared" si="11"/>
        <v/>
      </c>
      <c r="Q79" s="60" t="str">
        <f t="shared" si="16"/>
        <v/>
      </c>
      <c r="R79" s="57"/>
      <c r="S79" s="58" t="str">
        <f t="shared" si="12"/>
        <v/>
      </c>
      <c r="T79" s="58" t="str">
        <f t="shared" si="13"/>
        <v/>
      </c>
      <c r="U79" s="61" t="str">
        <f t="shared" si="17"/>
        <v/>
      </c>
      <c r="V79" s="58" t="str">
        <f t="shared" si="14"/>
        <v/>
      </c>
      <c r="W79" s="57"/>
    </row>
    <row r="80" spans="1:25" s="59" customFormat="1" x14ac:dyDescent="0.25">
      <c r="A80" s="53"/>
      <c r="B80" s="54" t="str">
        <f>IF($B79="","",IF($B79+1&gt;dropdown!$D$12,"",Schema!B79+1))</f>
        <v/>
      </c>
      <c r="C80" s="55" t="str">
        <f>IF($B79="","",IF($B79+1&gt;dropdown!$D$12,"",EOMONTH(C79,0)+1))</f>
        <v/>
      </c>
      <c r="D80" s="53"/>
      <c r="E80" s="55" t="str">
        <f>IF($B79="","",IF($B79+1&gt;dropdown!$D$12,"",F79+1))</f>
        <v/>
      </c>
      <c r="F80" s="55" t="str">
        <f>IF($B79="","",IF($B79+1&gt;dropdown!$D$12,"",EOMONTH(E80,0)))</f>
        <v/>
      </c>
      <c r="G80" s="56" t="str">
        <f>IF($B79="","",IF($B79+1&gt;dropdown!$D$12,"",(_xlfn.DAYS(F80,E80)+1)/DAY(F80)))</f>
        <v/>
      </c>
      <c r="H80" s="57"/>
      <c r="I80" s="58" t="str">
        <f>IF($B79="","",IF($B79+1&gt;dropdown!$D$12,"",I79-J79))</f>
        <v/>
      </c>
      <c r="J80" s="58" t="str">
        <f>IF($B79="","",IF($B79+1&gt;dropdown!$D$12,"",IF(B79&lt;dropdown!$D$13,0,IF(Aflossingsmethode="Lineair",Aflossingsbedrag,IF(Aflossingsmethode="Annuïteit",IFERROR(Bedrag_annuïteit-K80,0),0)))))</f>
        <v/>
      </c>
      <c r="K80" s="58" t="str">
        <f>IF($B79="","",IF($B79+1&gt;dropdown!$D$12,"",G80*I80*Rentekosten))</f>
        <v/>
      </c>
      <c r="L80" s="58" t="str">
        <f t="shared" si="15"/>
        <v/>
      </c>
      <c r="M80" s="58" t="str">
        <f t="shared" si="9"/>
        <v/>
      </c>
      <c r="N80" s="57"/>
      <c r="O80" s="60" t="str">
        <f t="shared" si="10"/>
        <v/>
      </c>
      <c r="P80" s="60" t="str">
        <f t="shared" si="11"/>
        <v/>
      </c>
      <c r="Q80" s="60" t="str">
        <f t="shared" si="16"/>
        <v/>
      </c>
      <c r="R80" s="57"/>
      <c r="S80" s="58" t="str">
        <f t="shared" si="12"/>
        <v/>
      </c>
      <c r="T80" s="58" t="str">
        <f t="shared" si="13"/>
        <v/>
      </c>
      <c r="U80" s="61" t="str">
        <f t="shared" si="17"/>
        <v/>
      </c>
      <c r="V80" s="58" t="str">
        <f t="shared" si="14"/>
        <v/>
      </c>
      <c r="W80" s="57"/>
    </row>
    <row r="81" spans="1:23" s="59" customFormat="1" x14ac:dyDescent="0.25">
      <c r="A81" s="53"/>
      <c r="B81" s="54" t="str">
        <f>IF($B80="","",IF($B80+1&gt;dropdown!$D$12,"",Schema!B80+1))</f>
        <v/>
      </c>
      <c r="C81" s="55" t="str">
        <f>IF($B80="","",IF($B80+1&gt;dropdown!$D$12,"",EOMONTH(C80,0)+1))</f>
        <v/>
      </c>
      <c r="D81" s="53"/>
      <c r="E81" s="55" t="str">
        <f>IF($B80="","",IF($B80+1&gt;dropdown!$D$12,"",F80+1))</f>
        <v/>
      </c>
      <c r="F81" s="55" t="str">
        <f>IF($B80="","",IF($B80+1&gt;dropdown!$D$12,"",EOMONTH(E81,0)))</f>
        <v/>
      </c>
      <c r="G81" s="56" t="str">
        <f>IF($B80="","",IF($B80+1&gt;dropdown!$D$12,"",(_xlfn.DAYS(F81,E81)+1)/DAY(F81)))</f>
        <v/>
      </c>
      <c r="H81" s="57"/>
      <c r="I81" s="58" t="str">
        <f>IF($B80="","",IF($B80+1&gt;dropdown!$D$12,"",I80-J80))</f>
        <v/>
      </c>
      <c r="J81" s="58" t="str">
        <f>IF($B80="","",IF($B80+1&gt;dropdown!$D$12,"",IF(B80&lt;dropdown!$D$13,0,IF(Aflossingsmethode="Lineair",Aflossingsbedrag,IF(Aflossingsmethode="Annuïteit",IFERROR(Bedrag_annuïteit-K81,0),0)))))</f>
        <v/>
      </c>
      <c r="K81" s="58" t="str">
        <f>IF($B80="","",IF($B80+1&gt;dropdown!$D$12,"",G81*I81*Rentekosten))</f>
        <v/>
      </c>
      <c r="L81" s="58" t="str">
        <f t="shared" si="15"/>
        <v/>
      </c>
      <c r="M81" s="58" t="str">
        <f t="shared" si="9"/>
        <v/>
      </c>
      <c r="N81" s="57"/>
      <c r="O81" s="60" t="str">
        <f t="shared" si="10"/>
        <v/>
      </c>
      <c r="P81" s="60" t="str">
        <f t="shared" si="11"/>
        <v/>
      </c>
      <c r="Q81" s="60" t="str">
        <f t="shared" si="16"/>
        <v/>
      </c>
      <c r="R81" s="57"/>
      <c r="S81" s="58" t="str">
        <f t="shared" si="12"/>
        <v/>
      </c>
      <c r="T81" s="58" t="str">
        <f t="shared" si="13"/>
        <v/>
      </c>
      <c r="U81" s="61" t="str">
        <f t="shared" si="17"/>
        <v/>
      </c>
      <c r="V81" s="58" t="str">
        <f t="shared" si="14"/>
        <v/>
      </c>
      <c r="W81" s="57"/>
    </row>
    <row r="82" spans="1:23" s="59" customFormat="1" x14ac:dyDescent="0.25">
      <c r="A82" s="53"/>
      <c r="B82" s="54" t="str">
        <f>IF($B81="","",IF($B81+1&gt;dropdown!$D$12,"",Schema!B81+1))</f>
        <v/>
      </c>
      <c r="C82" s="55" t="str">
        <f>IF($B81="","",IF($B81+1&gt;dropdown!$D$12,"",EOMONTH(C81,0)+1))</f>
        <v/>
      </c>
      <c r="D82" s="53"/>
      <c r="E82" s="55" t="str">
        <f>IF($B81="","",IF($B81+1&gt;dropdown!$D$12,"",F81+1))</f>
        <v/>
      </c>
      <c r="F82" s="55" t="str">
        <f>IF($B81="","",IF($B81+1&gt;dropdown!$D$12,"",EOMONTH(E82,0)))</f>
        <v/>
      </c>
      <c r="G82" s="56" t="str">
        <f>IF($B81="","",IF($B81+1&gt;dropdown!$D$12,"",(_xlfn.DAYS(F82,E82)+1)/DAY(F82)))</f>
        <v/>
      </c>
      <c r="H82" s="57"/>
      <c r="I82" s="58" t="str">
        <f>IF($B81="","",IF($B81+1&gt;dropdown!$D$12,"",I81-J81))</f>
        <v/>
      </c>
      <c r="J82" s="58" t="str">
        <f>IF($B81="","",IF($B81+1&gt;dropdown!$D$12,"",IF(B81&lt;dropdown!$D$13,0,IF(Aflossingsmethode="Lineair",Aflossingsbedrag,IF(Aflossingsmethode="Annuïteit",IFERROR(Bedrag_annuïteit-K82,0),0)))))</f>
        <v/>
      </c>
      <c r="K82" s="58" t="str">
        <f>IF($B81="","",IF($B81+1&gt;dropdown!$D$12,"",G82*I82*Rentekosten))</f>
        <v/>
      </c>
      <c r="L82" s="58" t="str">
        <f t="shared" si="15"/>
        <v/>
      </c>
      <c r="M82" s="58" t="str">
        <f t="shared" si="9"/>
        <v/>
      </c>
      <c r="N82" s="57"/>
      <c r="O82" s="60" t="str">
        <f t="shared" si="10"/>
        <v/>
      </c>
      <c r="P82" s="60" t="str">
        <f t="shared" si="11"/>
        <v/>
      </c>
      <c r="Q82" s="60" t="str">
        <f t="shared" si="16"/>
        <v/>
      </c>
      <c r="R82" s="57"/>
      <c r="S82" s="58" t="str">
        <f t="shared" si="12"/>
        <v/>
      </c>
      <c r="T82" s="58" t="str">
        <f t="shared" si="13"/>
        <v/>
      </c>
      <c r="U82" s="61" t="str">
        <f t="shared" si="17"/>
        <v/>
      </c>
      <c r="V82" s="58" t="str">
        <f t="shared" si="14"/>
        <v/>
      </c>
      <c r="W82" s="57"/>
    </row>
    <row r="83" spans="1:23" s="59" customFormat="1" x14ac:dyDescent="0.25">
      <c r="A83" s="53"/>
      <c r="B83" s="54" t="str">
        <f>IF($B82="","",IF($B82+1&gt;dropdown!$D$12,"",Schema!B82+1))</f>
        <v/>
      </c>
      <c r="C83" s="55" t="str">
        <f>IF($B82="","",IF($B82+1&gt;dropdown!$D$12,"",EOMONTH(C82,0)+1))</f>
        <v/>
      </c>
      <c r="D83" s="53"/>
      <c r="E83" s="55" t="str">
        <f>IF($B82="","",IF($B82+1&gt;dropdown!$D$12,"",F82+1))</f>
        <v/>
      </c>
      <c r="F83" s="55" t="str">
        <f>IF($B82="","",IF($B82+1&gt;dropdown!$D$12,"",EOMONTH(E83,0)))</f>
        <v/>
      </c>
      <c r="G83" s="56" t="str">
        <f>IF($B82="","",IF($B82+1&gt;dropdown!$D$12,"",(_xlfn.DAYS(F83,E83)+1)/DAY(F83)))</f>
        <v/>
      </c>
      <c r="H83" s="57"/>
      <c r="I83" s="58" t="str">
        <f>IF($B82="","",IF($B82+1&gt;dropdown!$D$12,"",I82-J82))</f>
        <v/>
      </c>
      <c r="J83" s="58" t="str">
        <f>IF($B82="","",IF($B82+1&gt;dropdown!$D$12,"",IF(B82&lt;dropdown!$D$13,0,IF(Aflossingsmethode="Lineair",Aflossingsbedrag,IF(Aflossingsmethode="Annuïteit",IFERROR(Bedrag_annuïteit-K83,0),0)))))</f>
        <v/>
      </c>
      <c r="K83" s="58" t="str">
        <f>IF($B82="","",IF($B82+1&gt;dropdown!$D$12,"",G83*I83*Rentekosten))</f>
        <v/>
      </c>
      <c r="L83" s="58" t="str">
        <f t="shared" si="15"/>
        <v/>
      </c>
      <c r="M83" s="58" t="str">
        <f t="shared" si="9"/>
        <v/>
      </c>
      <c r="N83" s="57"/>
      <c r="O83" s="60" t="str">
        <f t="shared" si="10"/>
        <v/>
      </c>
      <c r="P83" s="60" t="str">
        <f t="shared" si="11"/>
        <v/>
      </c>
      <c r="Q83" s="60" t="str">
        <f t="shared" si="16"/>
        <v/>
      </c>
      <c r="R83" s="57"/>
      <c r="S83" s="58" t="str">
        <f t="shared" si="12"/>
        <v/>
      </c>
      <c r="T83" s="58" t="str">
        <f t="shared" si="13"/>
        <v/>
      </c>
      <c r="U83" s="61" t="str">
        <f t="shared" si="17"/>
        <v/>
      </c>
      <c r="V83" s="58" t="str">
        <f t="shared" si="14"/>
        <v/>
      </c>
      <c r="W83" s="57"/>
    </row>
    <row r="84" spans="1:23" s="59" customFormat="1" x14ac:dyDescent="0.25">
      <c r="A84" s="53"/>
      <c r="B84" s="54" t="str">
        <f>IF($B83="","",IF($B83+1&gt;dropdown!$D$12,"",Schema!B83+1))</f>
        <v/>
      </c>
      <c r="C84" s="55" t="str">
        <f>IF($B83="","",IF($B83+1&gt;dropdown!$D$12,"",EOMONTH(C83,0)+1))</f>
        <v/>
      </c>
      <c r="D84" s="53"/>
      <c r="E84" s="55" t="str">
        <f>IF($B83="","",IF($B83+1&gt;dropdown!$D$12,"",F83+1))</f>
        <v/>
      </c>
      <c r="F84" s="55" t="str">
        <f>IF($B83="","",IF($B83+1&gt;dropdown!$D$12,"",EOMONTH(E84,0)))</f>
        <v/>
      </c>
      <c r="G84" s="56" t="str">
        <f>IF($B83="","",IF($B83+1&gt;dropdown!$D$12,"",(_xlfn.DAYS(F84,E84)+1)/DAY(F84)))</f>
        <v/>
      </c>
      <c r="H84" s="57"/>
      <c r="I84" s="58" t="str">
        <f>IF($B83="","",IF($B83+1&gt;dropdown!$D$12,"",I83-J83))</f>
        <v/>
      </c>
      <c r="J84" s="58" t="str">
        <f>IF($B83="","",IF($B83+1&gt;dropdown!$D$12,"",IF(B83&lt;dropdown!$D$13,0,IF(Aflossingsmethode="Lineair",Aflossingsbedrag,IF(Aflossingsmethode="Annuïteit",IFERROR(Bedrag_annuïteit-K84,0),0)))))</f>
        <v/>
      </c>
      <c r="K84" s="58" t="str">
        <f>IF($B83="","",IF($B83+1&gt;dropdown!$D$12,"",G84*I84*Rentekosten))</f>
        <v/>
      </c>
      <c r="L84" s="58" t="str">
        <f t="shared" si="15"/>
        <v/>
      </c>
      <c r="M84" s="58" t="str">
        <f t="shared" si="9"/>
        <v/>
      </c>
      <c r="N84" s="57"/>
      <c r="O84" s="60" t="str">
        <f t="shared" si="10"/>
        <v/>
      </c>
      <c r="P84" s="60" t="str">
        <f t="shared" si="11"/>
        <v/>
      </c>
      <c r="Q84" s="60" t="str">
        <f t="shared" si="16"/>
        <v/>
      </c>
      <c r="R84" s="57"/>
      <c r="S84" s="58" t="str">
        <f t="shared" si="12"/>
        <v/>
      </c>
      <c r="T84" s="58" t="str">
        <f t="shared" si="13"/>
        <v/>
      </c>
      <c r="U84" s="61" t="str">
        <f t="shared" si="17"/>
        <v/>
      </c>
      <c r="V84" s="58" t="str">
        <f t="shared" si="14"/>
        <v/>
      </c>
      <c r="W84" s="57"/>
    </row>
    <row r="85" spans="1:23" s="59" customFormat="1" x14ac:dyDescent="0.25">
      <c r="A85" s="53"/>
      <c r="B85" s="54" t="str">
        <f>IF($B84="","",IF($B84+1&gt;dropdown!$D$12,"",Schema!B84+1))</f>
        <v/>
      </c>
      <c r="C85" s="55" t="str">
        <f>IF($B84="","",IF($B84+1&gt;dropdown!$D$12,"",EOMONTH(C84,0)+1))</f>
        <v/>
      </c>
      <c r="D85" s="53"/>
      <c r="E85" s="55" t="str">
        <f>IF($B84="","",IF($B84+1&gt;dropdown!$D$12,"",F84+1))</f>
        <v/>
      </c>
      <c r="F85" s="55" t="str">
        <f>IF($B84="","",IF($B84+1&gt;dropdown!$D$12,"",EOMONTH(E85,0)))</f>
        <v/>
      </c>
      <c r="G85" s="56" t="str">
        <f>IF($B84="","",IF($B84+1&gt;dropdown!$D$12,"",(_xlfn.DAYS(F85,E85)+1)/DAY(F85)))</f>
        <v/>
      </c>
      <c r="H85" s="57"/>
      <c r="I85" s="58" t="str">
        <f>IF($B84="","",IF($B84+1&gt;dropdown!$D$12,"",I84-J84))</f>
        <v/>
      </c>
      <c r="J85" s="58" t="str">
        <f>IF($B84="","",IF($B84+1&gt;dropdown!$D$12,"",IF(B84&lt;dropdown!$D$13,0,IF(Aflossingsmethode="Lineair",Aflossingsbedrag,IF(Aflossingsmethode="Annuïteit",IFERROR(Bedrag_annuïteit-K85,0),0)))))</f>
        <v/>
      </c>
      <c r="K85" s="58" t="str">
        <f>IF($B84="","",IF($B84+1&gt;dropdown!$D$12,"",G85*I85*Rentekosten))</f>
        <v/>
      </c>
      <c r="L85" s="58" t="str">
        <f t="shared" si="15"/>
        <v/>
      </c>
      <c r="M85" s="58" t="str">
        <f t="shared" si="9"/>
        <v/>
      </c>
      <c r="N85" s="57"/>
      <c r="O85" s="60" t="str">
        <f t="shared" si="10"/>
        <v/>
      </c>
      <c r="P85" s="60" t="str">
        <f t="shared" si="11"/>
        <v/>
      </c>
      <c r="Q85" s="60" t="str">
        <f t="shared" si="16"/>
        <v/>
      </c>
      <c r="R85" s="57"/>
      <c r="S85" s="58" t="str">
        <f t="shared" si="12"/>
        <v/>
      </c>
      <c r="T85" s="58" t="str">
        <f t="shared" si="13"/>
        <v/>
      </c>
      <c r="U85" s="61" t="str">
        <f t="shared" si="17"/>
        <v/>
      </c>
      <c r="V85" s="58" t="str">
        <f t="shared" si="14"/>
        <v/>
      </c>
      <c r="W85" s="57"/>
    </row>
    <row r="86" spans="1:23" s="59" customFormat="1" x14ac:dyDescent="0.25">
      <c r="A86" s="53"/>
      <c r="B86" s="54" t="str">
        <f>IF($B85="","",IF($B85+1&gt;dropdown!$D$12,"",Schema!B85+1))</f>
        <v/>
      </c>
      <c r="C86" s="55" t="str">
        <f>IF($B85="","",IF($B85+1&gt;dropdown!$D$12,"",EOMONTH(C85,0)+1))</f>
        <v/>
      </c>
      <c r="D86" s="53"/>
      <c r="E86" s="55" t="str">
        <f>IF($B85="","",IF($B85+1&gt;dropdown!$D$12,"",F85+1))</f>
        <v/>
      </c>
      <c r="F86" s="55" t="str">
        <f>IF($B85="","",IF($B85+1&gt;dropdown!$D$12,"",EOMONTH(E86,0)))</f>
        <v/>
      </c>
      <c r="G86" s="56" t="str">
        <f>IF($B85="","",IF($B85+1&gt;dropdown!$D$12,"",(_xlfn.DAYS(F86,E86)+1)/DAY(F86)))</f>
        <v/>
      </c>
      <c r="H86" s="57"/>
      <c r="I86" s="58" t="str">
        <f>IF($B85="","",IF($B85+1&gt;dropdown!$D$12,"",I85-J85))</f>
        <v/>
      </c>
      <c r="J86" s="58" t="str">
        <f>IF($B85="","",IF($B85+1&gt;dropdown!$D$12,"",IF(B85&lt;dropdown!$D$13,0,IF(Aflossingsmethode="Lineair",Aflossingsbedrag,IF(Aflossingsmethode="Annuïteit",IFERROR(Bedrag_annuïteit-K86,0),0)))))</f>
        <v/>
      </c>
      <c r="K86" s="58" t="str">
        <f>IF($B85="","",IF($B85+1&gt;dropdown!$D$12,"",G86*I86*Rentekosten))</f>
        <v/>
      </c>
      <c r="L86" s="58" t="str">
        <f t="shared" si="15"/>
        <v/>
      </c>
      <c r="M86" s="58" t="str">
        <f t="shared" si="9"/>
        <v/>
      </c>
      <c r="N86" s="57"/>
      <c r="O86" s="60" t="str">
        <f t="shared" si="10"/>
        <v/>
      </c>
      <c r="P86" s="60" t="str">
        <f t="shared" si="11"/>
        <v/>
      </c>
      <c r="Q86" s="60" t="str">
        <f t="shared" si="16"/>
        <v/>
      </c>
      <c r="R86" s="57"/>
      <c r="S86" s="58" t="str">
        <f t="shared" si="12"/>
        <v/>
      </c>
      <c r="T86" s="58" t="str">
        <f t="shared" si="13"/>
        <v/>
      </c>
      <c r="U86" s="61" t="str">
        <f t="shared" si="17"/>
        <v/>
      </c>
      <c r="V86" s="58" t="str">
        <f t="shared" si="14"/>
        <v/>
      </c>
      <c r="W86" s="57"/>
    </row>
    <row r="87" spans="1:23" s="59" customFormat="1" x14ac:dyDescent="0.25">
      <c r="A87" s="53"/>
      <c r="B87" s="54" t="str">
        <f>IF($B86="","",IF($B86+1&gt;dropdown!$D$12,"",Schema!B86+1))</f>
        <v/>
      </c>
      <c r="C87" s="55" t="str">
        <f>IF($B86="","",IF($B86+1&gt;dropdown!$D$12,"",EOMONTH(C86,0)+1))</f>
        <v/>
      </c>
      <c r="D87" s="53"/>
      <c r="E87" s="55" t="str">
        <f>IF($B86="","",IF($B86+1&gt;dropdown!$D$12,"",F86+1))</f>
        <v/>
      </c>
      <c r="F87" s="55" t="str">
        <f>IF($B86="","",IF($B86+1&gt;dropdown!$D$12,"",EOMONTH(E87,0)))</f>
        <v/>
      </c>
      <c r="G87" s="56" t="str">
        <f>IF($B86="","",IF($B86+1&gt;dropdown!$D$12,"",(_xlfn.DAYS(F87,E87)+1)/DAY(F87)))</f>
        <v/>
      </c>
      <c r="H87" s="57"/>
      <c r="I87" s="58" t="str">
        <f>IF($B86="","",IF($B86+1&gt;dropdown!$D$12,"",I86-J86))</f>
        <v/>
      </c>
      <c r="J87" s="58" t="str">
        <f>IF($B86="","",IF($B86+1&gt;dropdown!$D$12,"",IF(B86&lt;dropdown!$D$13,0,IF(Aflossingsmethode="Lineair",Aflossingsbedrag,IF(Aflossingsmethode="Annuïteit",IFERROR(Bedrag_annuïteit-K87,0),0)))))</f>
        <v/>
      </c>
      <c r="K87" s="58" t="str">
        <f>IF($B86="","",IF($B86+1&gt;dropdown!$D$12,"",G87*I87*Rentekosten))</f>
        <v/>
      </c>
      <c r="L87" s="58" t="str">
        <f t="shared" si="15"/>
        <v/>
      </c>
      <c r="M87" s="58" t="str">
        <f t="shared" si="9"/>
        <v/>
      </c>
      <c r="N87" s="57"/>
      <c r="O87" s="60" t="str">
        <f t="shared" si="10"/>
        <v/>
      </c>
      <c r="P87" s="60" t="str">
        <f t="shared" si="11"/>
        <v/>
      </c>
      <c r="Q87" s="60" t="str">
        <f t="shared" si="16"/>
        <v/>
      </c>
      <c r="R87" s="57"/>
      <c r="S87" s="58" t="str">
        <f t="shared" si="12"/>
        <v/>
      </c>
      <c r="T87" s="58" t="str">
        <f t="shared" si="13"/>
        <v/>
      </c>
      <c r="U87" s="61" t="str">
        <f t="shared" si="17"/>
        <v/>
      </c>
      <c r="V87" s="58" t="str">
        <f t="shared" si="14"/>
        <v/>
      </c>
      <c r="W87" s="57"/>
    </row>
    <row r="88" spans="1:23" s="59" customFormat="1" x14ac:dyDescent="0.25">
      <c r="A88" s="53"/>
      <c r="B88" s="54" t="str">
        <f>IF($B87="","",IF($B87+1&gt;dropdown!$D$12,"",Schema!B87+1))</f>
        <v/>
      </c>
      <c r="C88" s="55" t="str">
        <f>IF($B87="","",IF($B87+1&gt;dropdown!$D$12,"",EOMONTH(C87,0)+1))</f>
        <v/>
      </c>
      <c r="D88" s="53"/>
      <c r="E88" s="55" t="str">
        <f>IF($B87="","",IF($B87+1&gt;dropdown!$D$12,"",F87+1))</f>
        <v/>
      </c>
      <c r="F88" s="55" t="str">
        <f>IF($B87="","",IF($B87+1&gt;dropdown!$D$12,"",EOMONTH(E88,0)))</f>
        <v/>
      </c>
      <c r="G88" s="56" t="str">
        <f>IF($B87="","",IF($B87+1&gt;dropdown!$D$12,"",(_xlfn.DAYS(F88,E88)+1)/DAY(F88)))</f>
        <v/>
      </c>
      <c r="H88" s="57"/>
      <c r="I88" s="58" t="str">
        <f>IF($B87="","",IF($B87+1&gt;dropdown!$D$12,"",I87-J87))</f>
        <v/>
      </c>
      <c r="J88" s="58" t="str">
        <f>IF($B87="","",IF($B87+1&gt;dropdown!$D$12,"",IF(B87&lt;dropdown!$D$13,0,IF(Aflossingsmethode="Lineair",Aflossingsbedrag,IF(Aflossingsmethode="Annuïteit",IFERROR(Bedrag_annuïteit-K88,0),0)))))</f>
        <v/>
      </c>
      <c r="K88" s="58" t="str">
        <f>IF($B87="","",IF($B87+1&gt;dropdown!$D$12,"",G88*I88*Rentekosten))</f>
        <v/>
      </c>
      <c r="L88" s="58" t="str">
        <f t="shared" si="15"/>
        <v/>
      </c>
      <c r="M88" s="58" t="str">
        <f t="shared" si="9"/>
        <v/>
      </c>
      <c r="N88" s="57"/>
      <c r="O88" s="60" t="str">
        <f t="shared" si="10"/>
        <v/>
      </c>
      <c r="P88" s="60" t="str">
        <f t="shared" si="11"/>
        <v/>
      </c>
      <c r="Q88" s="60" t="str">
        <f t="shared" si="16"/>
        <v/>
      </c>
      <c r="R88" s="57"/>
      <c r="S88" s="58" t="str">
        <f t="shared" si="12"/>
        <v/>
      </c>
      <c r="T88" s="58" t="str">
        <f t="shared" si="13"/>
        <v/>
      </c>
      <c r="U88" s="61" t="str">
        <f t="shared" si="17"/>
        <v/>
      </c>
      <c r="V88" s="58" t="str">
        <f t="shared" si="14"/>
        <v/>
      </c>
      <c r="W88" s="57"/>
    </row>
    <row r="89" spans="1:23" s="59" customFormat="1" x14ac:dyDescent="0.25">
      <c r="A89" s="53"/>
      <c r="B89" s="54" t="str">
        <f>IF($B88="","",IF($B88+1&gt;dropdown!$D$12,"",Schema!B88+1))</f>
        <v/>
      </c>
      <c r="C89" s="55" t="str">
        <f>IF($B88="","",IF($B88+1&gt;dropdown!$D$12,"",EOMONTH(C88,0)+1))</f>
        <v/>
      </c>
      <c r="D89" s="53"/>
      <c r="E89" s="55" t="str">
        <f>IF($B88="","",IF($B88+1&gt;dropdown!$D$12,"",F88+1))</f>
        <v/>
      </c>
      <c r="F89" s="55" t="str">
        <f>IF($B88="","",IF($B88+1&gt;dropdown!$D$12,"",EOMONTH(E89,0)))</f>
        <v/>
      </c>
      <c r="G89" s="56" t="str">
        <f>IF($B88="","",IF($B88+1&gt;dropdown!$D$12,"",(_xlfn.DAYS(F89,E89)+1)/DAY(F89)))</f>
        <v/>
      </c>
      <c r="H89" s="57"/>
      <c r="I89" s="58" t="str">
        <f>IF($B88="","",IF($B88+1&gt;dropdown!$D$12,"",I88-J88))</f>
        <v/>
      </c>
      <c r="J89" s="58" t="str">
        <f>IF($B88="","",IF($B88+1&gt;dropdown!$D$12,"",IF(B88&lt;dropdown!$D$13,0,IF(Aflossingsmethode="Lineair",Aflossingsbedrag,IF(Aflossingsmethode="Annuïteit",IFERROR(Bedrag_annuïteit-K89,0),0)))))</f>
        <v/>
      </c>
      <c r="K89" s="58" t="str">
        <f>IF($B88="","",IF($B88+1&gt;dropdown!$D$12,"",G89*I89*Rentekosten))</f>
        <v/>
      </c>
      <c r="L89" s="58" t="str">
        <f t="shared" si="15"/>
        <v/>
      </c>
      <c r="M89" s="58" t="str">
        <f t="shared" si="9"/>
        <v/>
      </c>
      <c r="N89" s="57"/>
      <c r="O89" s="60" t="str">
        <f t="shared" si="10"/>
        <v/>
      </c>
      <c r="P89" s="60" t="str">
        <f t="shared" si="11"/>
        <v/>
      </c>
      <c r="Q89" s="60" t="str">
        <f t="shared" si="16"/>
        <v/>
      </c>
      <c r="R89" s="57"/>
      <c r="S89" s="58" t="str">
        <f t="shared" si="12"/>
        <v/>
      </c>
      <c r="T89" s="58" t="str">
        <f t="shared" si="13"/>
        <v/>
      </c>
      <c r="U89" s="61" t="str">
        <f t="shared" si="17"/>
        <v/>
      </c>
      <c r="V89" s="58" t="str">
        <f t="shared" si="14"/>
        <v/>
      </c>
      <c r="W89" s="57"/>
    </row>
    <row r="90" spans="1:23" s="59" customFormat="1" x14ac:dyDescent="0.25">
      <c r="A90" s="53"/>
      <c r="B90" s="54" t="str">
        <f>IF($B89="","",IF($B89+1&gt;dropdown!$D$12,"",Schema!B89+1))</f>
        <v/>
      </c>
      <c r="C90" s="55" t="str">
        <f>IF($B89="","",IF($B89+1&gt;dropdown!$D$12,"",EOMONTH(C89,0)+1))</f>
        <v/>
      </c>
      <c r="D90" s="53"/>
      <c r="E90" s="55" t="str">
        <f>IF($B89="","",IF($B89+1&gt;dropdown!$D$12,"",F89+1))</f>
        <v/>
      </c>
      <c r="F90" s="55" t="str">
        <f>IF($B89="","",IF($B89+1&gt;dropdown!$D$12,"",EOMONTH(E90,0)))</f>
        <v/>
      </c>
      <c r="G90" s="56" t="str">
        <f>IF($B89="","",IF($B89+1&gt;dropdown!$D$12,"",(_xlfn.DAYS(F90,E90)+1)/DAY(F90)))</f>
        <v/>
      </c>
      <c r="H90" s="57"/>
      <c r="I90" s="58" t="str">
        <f>IF($B89="","",IF($B89+1&gt;dropdown!$D$12,"",I89-J89))</f>
        <v/>
      </c>
      <c r="J90" s="58" t="str">
        <f>IF($B89="","",IF($B89+1&gt;dropdown!$D$12,"",IF(B89&lt;dropdown!$D$13,0,IF(Aflossingsmethode="Lineair",Aflossingsbedrag,IF(Aflossingsmethode="Annuïteit",IFERROR(Bedrag_annuïteit-K90,0),0)))))</f>
        <v/>
      </c>
      <c r="K90" s="58" t="str">
        <f>IF($B89="","",IF($B89+1&gt;dropdown!$D$12,"",G90*I90*Rentekosten))</f>
        <v/>
      </c>
      <c r="L90" s="58" t="str">
        <f t="shared" si="15"/>
        <v/>
      </c>
      <c r="M90" s="58" t="str">
        <f t="shared" si="9"/>
        <v/>
      </c>
      <c r="N90" s="57"/>
      <c r="O90" s="60" t="str">
        <f t="shared" si="10"/>
        <v/>
      </c>
      <c r="P90" s="60" t="str">
        <f t="shared" si="11"/>
        <v/>
      </c>
      <c r="Q90" s="60" t="str">
        <f t="shared" si="16"/>
        <v/>
      </c>
      <c r="R90" s="57"/>
      <c r="S90" s="58" t="str">
        <f t="shared" si="12"/>
        <v/>
      </c>
      <c r="T90" s="58" t="str">
        <f t="shared" si="13"/>
        <v/>
      </c>
      <c r="U90" s="61" t="str">
        <f t="shared" si="17"/>
        <v/>
      </c>
      <c r="V90" s="58" t="str">
        <f t="shared" si="14"/>
        <v/>
      </c>
      <c r="W90" s="57"/>
    </row>
    <row r="91" spans="1:23" s="59" customFormat="1" x14ac:dyDescent="0.25">
      <c r="A91" s="53"/>
      <c r="B91" s="54" t="str">
        <f>IF($B90="","",IF($B90+1&gt;dropdown!$D$12,"",Schema!B90+1))</f>
        <v/>
      </c>
      <c r="C91" s="55" t="str">
        <f>IF($B90="","",IF($B90+1&gt;dropdown!$D$12,"",EOMONTH(C90,0)+1))</f>
        <v/>
      </c>
      <c r="D91" s="53"/>
      <c r="E91" s="55" t="str">
        <f>IF($B90="","",IF($B90+1&gt;dropdown!$D$12,"",F90+1))</f>
        <v/>
      </c>
      <c r="F91" s="55" t="str">
        <f>IF($B90="","",IF($B90+1&gt;dropdown!$D$12,"",EOMONTH(E91,0)))</f>
        <v/>
      </c>
      <c r="G91" s="56" t="str">
        <f>IF($B90="","",IF($B90+1&gt;dropdown!$D$12,"",(_xlfn.DAYS(F91,E91)+1)/DAY(F91)))</f>
        <v/>
      </c>
      <c r="H91" s="57"/>
      <c r="I91" s="58" t="str">
        <f>IF($B90="","",IF($B90+1&gt;dropdown!$D$12,"",I90-J90))</f>
        <v/>
      </c>
      <c r="J91" s="58" t="str">
        <f>IF($B90="","",IF($B90+1&gt;dropdown!$D$12,"",IF(B90&lt;dropdown!$D$13,0,IF(Aflossingsmethode="Lineair",Aflossingsbedrag,IF(Aflossingsmethode="Annuïteit",IFERROR(Bedrag_annuïteit-K91,0),0)))))</f>
        <v/>
      </c>
      <c r="K91" s="58" t="str">
        <f>IF($B90="","",IF($B90+1&gt;dropdown!$D$12,"",G91*I91*Rentekosten))</f>
        <v/>
      </c>
      <c r="L91" s="58" t="str">
        <f t="shared" si="15"/>
        <v/>
      </c>
      <c r="M91" s="58" t="str">
        <f t="shared" si="9"/>
        <v/>
      </c>
      <c r="N91" s="57"/>
      <c r="O91" s="60" t="str">
        <f t="shared" si="10"/>
        <v/>
      </c>
      <c r="P91" s="60" t="str">
        <f t="shared" si="11"/>
        <v/>
      </c>
      <c r="Q91" s="60" t="str">
        <f t="shared" si="16"/>
        <v/>
      </c>
      <c r="R91" s="57"/>
      <c r="S91" s="58" t="str">
        <f t="shared" si="12"/>
        <v/>
      </c>
      <c r="T91" s="58" t="str">
        <f t="shared" si="13"/>
        <v/>
      </c>
      <c r="U91" s="61" t="str">
        <f t="shared" si="17"/>
        <v/>
      </c>
      <c r="V91" s="58" t="str">
        <f t="shared" si="14"/>
        <v/>
      </c>
      <c r="W91" s="57"/>
    </row>
    <row r="92" spans="1:23" s="59" customFormat="1" x14ac:dyDescent="0.25">
      <c r="A92" s="53"/>
      <c r="B92" s="54" t="str">
        <f>IF($B91="","",IF($B91+1&gt;dropdown!$D$12,"",Schema!B91+1))</f>
        <v/>
      </c>
      <c r="C92" s="55" t="str">
        <f>IF($B91="","",IF($B91+1&gt;dropdown!$D$12,"",EOMONTH(C91,0)+1))</f>
        <v/>
      </c>
      <c r="D92" s="53"/>
      <c r="E92" s="55" t="str">
        <f>IF($B91="","",IF($B91+1&gt;dropdown!$D$12,"",F91+1))</f>
        <v/>
      </c>
      <c r="F92" s="55" t="str">
        <f>IF($B91="","",IF($B91+1&gt;dropdown!$D$12,"",EOMONTH(E92,0)))</f>
        <v/>
      </c>
      <c r="G92" s="56" t="str">
        <f>IF($B91="","",IF($B91+1&gt;dropdown!$D$12,"",(_xlfn.DAYS(F92,E92)+1)/DAY(F92)))</f>
        <v/>
      </c>
      <c r="H92" s="57"/>
      <c r="I92" s="58" t="str">
        <f>IF($B91="","",IF($B91+1&gt;dropdown!$D$12,"",I91-J91))</f>
        <v/>
      </c>
      <c r="J92" s="58" t="str">
        <f>IF($B91="","",IF($B91+1&gt;dropdown!$D$12,"",IF(B91&lt;dropdown!$D$13,0,IF(Aflossingsmethode="Lineair",Aflossingsbedrag,IF(Aflossingsmethode="Annuïteit",IFERROR(Bedrag_annuïteit-K92,0),0)))))</f>
        <v/>
      </c>
      <c r="K92" s="58" t="str">
        <f>IF($B91="","",IF($B91+1&gt;dropdown!$D$12,"",G92*I92*Rentekosten))</f>
        <v/>
      </c>
      <c r="L92" s="58" t="str">
        <f t="shared" si="15"/>
        <v/>
      </c>
      <c r="M92" s="58" t="str">
        <f t="shared" si="9"/>
        <v/>
      </c>
      <c r="N92" s="57"/>
      <c r="O92" s="60" t="str">
        <f t="shared" si="10"/>
        <v/>
      </c>
      <c r="P92" s="60" t="str">
        <f t="shared" si="11"/>
        <v/>
      </c>
      <c r="Q92" s="60" t="str">
        <f t="shared" si="16"/>
        <v/>
      </c>
      <c r="R92" s="57"/>
      <c r="S92" s="58" t="str">
        <f t="shared" si="12"/>
        <v/>
      </c>
      <c r="T92" s="58" t="str">
        <f t="shared" si="13"/>
        <v/>
      </c>
      <c r="U92" s="61" t="str">
        <f t="shared" si="17"/>
        <v/>
      </c>
      <c r="V92" s="58" t="str">
        <f t="shared" si="14"/>
        <v/>
      </c>
      <c r="W92" s="57"/>
    </row>
    <row r="93" spans="1:23" s="59" customFormat="1" x14ac:dyDescent="0.25">
      <c r="A93" s="53"/>
      <c r="B93" s="54" t="str">
        <f>IF($B92="","",IF($B92+1&gt;dropdown!$D$12,"",Schema!B92+1))</f>
        <v/>
      </c>
      <c r="C93" s="55" t="str">
        <f>IF($B92="","",IF($B92+1&gt;dropdown!$D$12,"",EOMONTH(C92,0)+1))</f>
        <v/>
      </c>
      <c r="D93" s="53"/>
      <c r="E93" s="55" t="str">
        <f>IF($B92="","",IF($B92+1&gt;dropdown!$D$12,"",F92+1))</f>
        <v/>
      </c>
      <c r="F93" s="55" t="str">
        <f>IF($B92="","",IF($B92+1&gt;dropdown!$D$12,"",EOMONTH(E93,0)))</f>
        <v/>
      </c>
      <c r="G93" s="56" t="str">
        <f>IF($B92="","",IF($B92+1&gt;dropdown!$D$12,"",(_xlfn.DAYS(F93,E93)+1)/DAY(F93)))</f>
        <v/>
      </c>
      <c r="H93" s="57"/>
      <c r="I93" s="58" t="str">
        <f>IF($B92="","",IF($B92+1&gt;dropdown!$D$12,"",I92-J92))</f>
        <v/>
      </c>
      <c r="J93" s="58" t="str">
        <f>IF($B92="","",IF($B92+1&gt;dropdown!$D$12,"",IF(B92&lt;dropdown!$D$13,0,IF(Aflossingsmethode="Lineair",Aflossingsbedrag,IF(Aflossingsmethode="Annuïteit",IFERROR(Bedrag_annuïteit-K93,0),0)))))</f>
        <v/>
      </c>
      <c r="K93" s="58" t="str">
        <f>IF($B92="","",IF($B92+1&gt;dropdown!$D$12,"",G93*I93*Rentekosten))</f>
        <v/>
      </c>
      <c r="L93" s="58" t="str">
        <f t="shared" si="15"/>
        <v/>
      </c>
      <c r="M93" s="58" t="str">
        <f t="shared" si="9"/>
        <v/>
      </c>
      <c r="N93" s="57"/>
      <c r="O93" s="60" t="str">
        <f t="shared" si="10"/>
        <v/>
      </c>
      <c r="P93" s="60" t="str">
        <f t="shared" si="11"/>
        <v/>
      </c>
      <c r="Q93" s="60" t="str">
        <f t="shared" si="16"/>
        <v/>
      </c>
      <c r="R93" s="57"/>
      <c r="S93" s="58" t="str">
        <f t="shared" si="12"/>
        <v/>
      </c>
      <c r="T93" s="58" t="str">
        <f t="shared" si="13"/>
        <v/>
      </c>
      <c r="U93" s="61" t="str">
        <f t="shared" si="17"/>
        <v/>
      </c>
      <c r="V93" s="58" t="str">
        <f t="shared" si="14"/>
        <v/>
      </c>
      <c r="W93" s="57"/>
    </row>
    <row r="94" spans="1:23" s="59" customFormat="1" x14ac:dyDescent="0.25">
      <c r="A94" s="53"/>
      <c r="B94" s="54" t="str">
        <f>IF($B93="","",IF($B93+1&gt;dropdown!$D$12,"",Schema!B93+1))</f>
        <v/>
      </c>
      <c r="C94" s="55" t="str">
        <f>IF($B93="","",IF($B93+1&gt;dropdown!$D$12,"",EOMONTH(C93,0)+1))</f>
        <v/>
      </c>
      <c r="D94" s="53"/>
      <c r="E94" s="55" t="str">
        <f>IF($B93="","",IF($B93+1&gt;dropdown!$D$12,"",F93+1))</f>
        <v/>
      </c>
      <c r="F94" s="55" t="str">
        <f>IF($B93="","",IF($B93+1&gt;dropdown!$D$12,"",EOMONTH(E94,0)))</f>
        <v/>
      </c>
      <c r="G94" s="56" t="str">
        <f>IF($B93="","",IF($B93+1&gt;dropdown!$D$12,"",(_xlfn.DAYS(F94,E94)+1)/DAY(F94)))</f>
        <v/>
      </c>
      <c r="H94" s="57"/>
      <c r="I94" s="58" t="str">
        <f>IF($B93="","",IF($B93+1&gt;dropdown!$D$12,"",I93-J93))</f>
        <v/>
      </c>
      <c r="J94" s="58" t="str">
        <f>IF($B93="","",IF($B93+1&gt;dropdown!$D$12,"",IF(B93&lt;dropdown!$D$13,0,IF(Aflossingsmethode="Lineair",Aflossingsbedrag,IF(Aflossingsmethode="Annuïteit",IFERROR(Bedrag_annuïteit-K94,0),0)))))</f>
        <v/>
      </c>
      <c r="K94" s="58" t="str">
        <f>IF($B93="","",IF($B93+1&gt;dropdown!$D$12,"",G94*I94*Rentekosten))</f>
        <v/>
      </c>
      <c r="L94" s="58" t="str">
        <f t="shared" si="15"/>
        <v/>
      </c>
      <c r="M94" s="58" t="str">
        <f t="shared" si="9"/>
        <v/>
      </c>
      <c r="N94" s="57"/>
      <c r="O94" s="60" t="str">
        <f t="shared" si="10"/>
        <v/>
      </c>
      <c r="P94" s="60" t="str">
        <f t="shared" si="11"/>
        <v/>
      </c>
      <c r="Q94" s="60" t="str">
        <f t="shared" si="16"/>
        <v/>
      </c>
      <c r="R94" s="57"/>
      <c r="S94" s="58" t="str">
        <f t="shared" si="12"/>
        <v/>
      </c>
      <c r="T94" s="58" t="str">
        <f t="shared" si="13"/>
        <v/>
      </c>
      <c r="U94" s="61" t="str">
        <f t="shared" si="17"/>
        <v/>
      </c>
      <c r="V94" s="58" t="str">
        <f t="shared" si="14"/>
        <v/>
      </c>
      <c r="W94" s="57"/>
    </row>
    <row r="95" spans="1:23" s="59" customFormat="1" x14ac:dyDescent="0.25">
      <c r="A95" s="53"/>
      <c r="B95" s="54" t="str">
        <f>IF($B94="","",IF($B94+1&gt;dropdown!$D$12,"",Schema!B94+1))</f>
        <v/>
      </c>
      <c r="C95" s="55" t="str">
        <f>IF($B94="","",IF($B94+1&gt;dropdown!$D$12,"",EOMONTH(C94,0)+1))</f>
        <v/>
      </c>
      <c r="D95" s="53"/>
      <c r="E95" s="55" t="str">
        <f>IF($B94="","",IF($B94+1&gt;dropdown!$D$12,"",F94+1))</f>
        <v/>
      </c>
      <c r="F95" s="55" t="str">
        <f>IF($B94="","",IF($B94+1&gt;dropdown!$D$12,"",EOMONTH(E95,0)))</f>
        <v/>
      </c>
      <c r="G95" s="56" t="str">
        <f>IF($B94="","",IF($B94+1&gt;dropdown!$D$12,"",(_xlfn.DAYS(F95,E95)+1)/DAY(F95)))</f>
        <v/>
      </c>
      <c r="H95" s="57"/>
      <c r="I95" s="58" t="str">
        <f>IF($B94="","",IF($B94+1&gt;dropdown!$D$12,"",I94-J94))</f>
        <v/>
      </c>
      <c r="J95" s="58" t="str">
        <f>IF($B94="","",IF($B94+1&gt;dropdown!$D$12,"",IF(B94&lt;dropdown!$D$13,0,IF(Aflossingsmethode="Lineair",Aflossingsbedrag,IF(Aflossingsmethode="Annuïteit",IFERROR(Bedrag_annuïteit-K95,0),0)))))</f>
        <v/>
      </c>
      <c r="K95" s="58" t="str">
        <f>IF($B94="","",IF($B94+1&gt;dropdown!$D$12,"",G95*I95*Rentekosten))</f>
        <v/>
      </c>
      <c r="L95" s="58" t="str">
        <f t="shared" si="15"/>
        <v/>
      </c>
      <c r="M95" s="58" t="str">
        <f t="shared" si="9"/>
        <v/>
      </c>
      <c r="N95" s="57"/>
      <c r="O95" s="60" t="str">
        <f t="shared" si="10"/>
        <v/>
      </c>
      <c r="P95" s="60" t="str">
        <f t="shared" si="11"/>
        <v/>
      </c>
      <c r="Q95" s="60" t="str">
        <f t="shared" si="16"/>
        <v/>
      </c>
      <c r="R95" s="57"/>
      <c r="S95" s="58" t="str">
        <f t="shared" si="12"/>
        <v/>
      </c>
      <c r="T95" s="58" t="str">
        <f t="shared" si="13"/>
        <v/>
      </c>
      <c r="U95" s="61" t="str">
        <f t="shared" si="17"/>
        <v/>
      </c>
      <c r="V95" s="58" t="str">
        <f t="shared" si="14"/>
        <v/>
      </c>
      <c r="W95" s="57"/>
    </row>
    <row r="96" spans="1:23" s="59" customFormat="1" x14ac:dyDescent="0.25">
      <c r="A96" s="53"/>
      <c r="B96" s="54" t="str">
        <f>IF($B95="","",IF($B95+1&gt;dropdown!$D$12,"",Schema!B95+1))</f>
        <v/>
      </c>
      <c r="C96" s="55" t="str">
        <f>IF($B95="","",IF($B95+1&gt;dropdown!$D$12,"",EOMONTH(C95,0)+1))</f>
        <v/>
      </c>
      <c r="D96" s="53"/>
      <c r="E96" s="55" t="str">
        <f>IF($B95="","",IF($B95+1&gt;dropdown!$D$12,"",F95+1))</f>
        <v/>
      </c>
      <c r="F96" s="55" t="str">
        <f>IF($B95="","",IF($B95+1&gt;dropdown!$D$12,"",EOMONTH(E96,0)))</f>
        <v/>
      </c>
      <c r="G96" s="56" t="str">
        <f>IF($B95="","",IF($B95+1&gt;dropdown!$D$12,"",(_xlfn.DAYS(F96,E96)+1)/DAY(F96)))</f>
        <v/>
      </c>
      <c r="H96" s="57"/>
      <c r="I96" s="58" t="str">
        <f>IF($B95="","",IF($B95+1&gt;dropdown!$D$12,"",I95-J95))</f>
        <v/>
      </c>
      <c r="J96" s="58" t="str">
        <f>IF($B95="","",IF($B95+1&gt;dropdown!$D$12,"",IF(B95&lt;dropdown!$D$13,0,IF(Aflossingsmethode="Lineair",Aflossingsbedrag,IF(Aflossingsmethode="Annuïteit",IFERROR(Bedrag_annuïteit-K96,0),0)))))</f>
        <v/>
      </c>
      <c r="K96" s="58" t="str">
        <f>IF($B95="","",IF($B95+1&gt;dropdown!$D$12,"",G96*I96*Rentekosten))</f>
        <v/>
      </c>
      <c r="L96" s="58" t="str">
        <f t="shared" si="15"/>
        <v/>
      </c>
      <c r="M96" s="58" t="str">
        <f t="shared" si="9"/>
        <v/>
      </c>
      <c r="N96" s="57"/>
      <c r="O96" s="60" t="str">
        <f t="shared" si="10"/>
        <v/>
      </c>
      <c r="P96" s="60" t="str">
        <f t="shared" si="11"/>
        <v/>
      </c>
      <c r="Q96" s="60" t="str">
        <f t="shared" si="16"/>
        <v/>
      </c>
      <c r="R96" s="57"/>
      <c r="S96" s="58" t="str">
        <f t="shared" si="12"/>
        <v/>
      </c>
      <c r="T96" s="58" t="str">
        <f t="shared" si="13"/>
        <v/>
      </c>
      <c r="U96" s="61" t="str">
        <f t="shared" si="17"/>
        <v/>
      </c>
      <c r="V96" s="58" t="str">
        <f t="shared" si="14"/>
        <v/>
      </c>
      <c r="W96" s="57"/>
    </row>
    <row r="97" spans="1:23" s="59" customFormat="1" x14ac:dyDescent="0.25">
      <c r="A97" s="53"/>
      <c r="B97" s="54" t="str">
        <f>IF($B96="","",IF($B96+1&gt;dropdown!$D$12,"",Schema!B96+1))</f>
        <v/>
      </c>
      <c r="C97" s="55" t="str">
        <f>IF($B96="","",IF($B96+1&gt;dropdown!$D$12,"",EOMONTH(C96,0)+1))</f>
        <v/>
      </c>
      <c r="D97" s="53"/>
      <c r="E97" s="55" t="str">
        <f>IF($B96="","",IF($B96+1&gt;dropdown!$D$12,"",F96+1))</f>
        <v/>
      </c>
      <c r="F97" s="55" t="str">
        <f>IF($B96="","",IF($B96+1&gt;dropdown!$D$12,"",EOMONTH(E97,0)))</f>
        <v/>
      </c>
      <c r="G97" s="56" t="str">
        <f>IF($B96="","",IF($B96+1&gt;dropdown!$D$12,"",(_xlfn.DAYS(F97,E97)+1)/DAY(F97)))</f>
        <v/>
      </c>
      <c r="H97" s="57"/>
      <c r="I97" s="58" t="str">
        <f>IF($B96="","",IF($B96+1&gt;dropdown!$D$12,"",I96-J96))</f>
        <v/>
      </c>
      <c r="J97" s="58" t="str">
        <f>IF($B96="","",IF($B96+1&gt;dropdown!$D$12,"",IF(B96&lt;dropdown!$D$13,0,IF(Aflossingsmethode="Lineair",Aflossingsbedrag,IF(Aflossingsmethode="Annuïteit",IFERROR(Bedrag_annuïteit-K97,0),0)))))</f>
        <v/>
      </c>
      <c r="K97" s="58" t="str">
        <f>IF($B96="","",IF($B96+1&gt;dropdown!$D$12,"",G97*I97*Rentekosten))</f>
        <v/>
      </c>
      <c r="L97" s="58" t="str">
        <f t="shared" si="15"/>
        <v/>
      </c>
      <c r="M97" s="58" t="str">
        <f t="shared" si="9"/>
        <v/>
      </c>
      <c r="N97" s="57"/>
      <c r="O97" s="60" t="str">
        <f t="shared" si="10"/>
        <v/>
      </c>
      <c r="P97" s="60" t="str">
        <f t="shared" si="11"/>
        <v/>
      </c>
      <c r="Q97" s="60" t="str">
        <f t="shared" si="16"/>
        <v/>
      </c>
      <c r="R97" s="57"/>
      <c r="S97" s="58" t="str">
        <f t="shared" si="12"/>
        <v/>
      </c>
      <c r="T97" s="58" t="str">
        <f t="shared" si="13"/>
        <v/>
      </c>
      <c r="U97" s="61" t="str">
        <f t="shared" si="17"/>
        <v/>
      </c>
      <c r="V97" s="58" t="str">
        <f t="shared" si="14"/>
        <v/>
      </c>
      <c r="W97" s="57"/>
    </row>
    <row r="98" spans="1:23" s="59" customFormat="1" x14ac:dyDescent="0.25">
      <c r="A98" s="53"/>
      <c r="B98" s="54" t="str">
        <f>IF($B97="","",IF($B97+1&gt;dropdown!$D$12,"",Schema!B97+1))</f>
        <v/>
      </c>
      <c r="C98" s="55" t="str">
        <f>IF($B97="","",IF($B97+1&gt;dropdown!$D$12,"",EOMONTH(C97,0)+1))</f>
        <v/>
      </c>
      <c r="D98" s="53"/>
      <c r="E98" s="55" t="str">
        <f>IF($B97="","",IF($B97+1&gt;dropdown!$D$12,"",F97+1))</f>
        <v/>
      </c>
      <c r="F98" s="55" t="str">
        <f>IF($B97="","",IF($B97+1&gt;dropdown!$D$12,"",EOMONTH(E98,0)))</f>
        <v/>
      </c>
      <c r="G98" s="56" t="str">
        <f>IF($B97="","",IF($B97+1&gt;dropdown!$D$12,"",(_xlfn.DAYS(F98,E98)+1)/DAY(F98)))</f>
        <v/>
      </c>
      <c r="H98" s="57"/>
      <c r="I98" s="58" t="str">
        <f>IF($B97="","",IF($B97+1&gt;dropdown!$D$12,"",I97-J97))</f>
        <v/>
      </c>
      <c r="J98" s="58" t="str">
        <f>IF($B97="","",IF($B97+1&gt;dropdown!$D$12,"",IF(B97&lt;dropdown!$D$13,0,IF(Aflossingsmethode="Lineair",Aflossingsbedrag,IF(Aflossingsmethode="Annuïteit",IFERROR(Bedrag_annuïteit-K98,0),0)))))</f>
        <v/>
      </c>
      <c r="K98" s="58" t="str">
        <f>IF($B97="","",IF($B97+1&gt;dropdown!$D$12,"",G98*I98*Rentekosten))</f>
        <v/>
      </c>
      <c r="L98" s="58" t="str">
        <f t="shared" si="15"/>
        <v/>
      </c>
      <c r="M98" s="58" t="str">
        <f t="shared" si="9"/>
        <v/>
      </c>
      <c r="N98" s="57"/>
      <c r="O98" s="60" t="str">
        <f t="shared" si="10"/>
        <v/>
      </c>
      <c r="P98" s="60" t="str">
        <f t="shared" si="11"/>
        <v/>
      </c>
      <c r="Q98" s="60" t="str">
        <f t="shared" si="16"/>
        <v/>
      </c>
      <c r="R98" s="57"/>
      <c r="S98" s="58" t="str">
        <f t="shared" si="12"/>
        <v/>
      </c>
      <c r="T98" s="58" t="str">
        <f t="shared" si="13"/>
        <v/>
      </c>
      <c r="U98" s="61" t="str">
        <f t="shared" si="17"/>
        <v/>
      </c>
      <c r="V98" s="58" t="str">
        <f t="shared" si="14"/>
        <v/>
      </c>
      <c r="W98" s="57"/>
    </row>
    <row r="99" spans="1:23" s="59" customFormat="1" x14ac:dyDescent="0.25">
      <c r="A99" s="53"/>
      <c r="B99" s="54" t="str">
        <f>IF($B98="","",IF($B98+1&gt;dropdown!$D$12,"",Schema!B98+1))</f>
        <v/>
      </c>
      <c r="C99" s="55" t="str">
        <f>IF($B98="","",IF($B98+1&gt;dropdown!$D$12,"",EOMONTH(C98,0)+1))</f>
        <v/>
      </c>
      <c r="D99" s="53"/>
      <c r="E99" s="55" t="str">
        <f>IF($B98="","",IF($B98+1&gt;dropdown!$D$12,"",F98+1))</f>
        <v/>
      </c>
      <c r="F99" s="55" t="str">
        <f>IF($B98="","",IF($B98+1&gt;dropdown!$D$12,"",EOMONTH(E99,0)))</f>
        <v/>
      </c>
      <c r="G99" s="56" t="str">
        <f>IF($B98="","",IF($B98+1&gt;dropdown!$D$12,"",(_xlfn.DAYS(F99,E99)+1)/DAY(F99)))</f>
        <v/>
      </c>
      <c r="H99" s="57"/>
      <c r="I99" s="58" t="str">
        <f>IF($B98="","",IF($B98+1&gt;dropdown!$D$12,"",I98-J98))</f>
        <v/>
      </c>
      <c r="J99" s="58" t="str">
        <f>IF($B98="","",IF($B98+1&gt;dropdown!$D$12,"",IF(B98&lt;dropdown!$D$13,0,IF(Aflossingsmethode="Lineair",Aflossingsbedrag,IF(Aflossingsmethode="Annuïteit",IFERROR(Bedrag_annuïteit-K99,0),0)))))</f>
        <v/>
      </c>
      <c r="K99" s="58" t="str">
        <f>IF($B98="","",IF($B98+1&gt;dropdown!$D$12,"",G99*I99*Rentekosten))</f>
        <v/>
      </c>
      <c r="L99" s="58" t="str">
        <f t="shared" si="15"/>
        <v/>
      </c>
      <c r="M99" s="58" t="str">
        <f t="shared" si="9"/>
        <v/>
      </c>
      <c r="N99" s="57"/>
      <c r="O99" s="60" t="str">
        <f t="shared" si="10"/>
        <v/>
      </c>
      <c r="P99" s="60" t="str">
        <f t="shared" si="11"/>
        <v/>
      </c>
      <c r="Q99" s="60" t="str">
        <f t="shared" si="16"/>
        <v/>
      </c>
      <c r="R99" s="57"/>
      <c r="S99" s="58" t="str">
        <f t="shared" si="12"/>
        <v/>
      </c>
      <c r="T99" s="58" t="str">
        <f t="shared" si="13"/>
        <v/>
      </c>
      <c r="U99" s="61" t="str">
        <f t="shared" si="17"/>
        <v/>
      </c>
      <c r="V99" s="58" t="str">
        <f t="shared" si="14"/>
        <v/>
      </c>
      <c r="W99" s="57"/>
    </row>
    <row r="100" spans="1:23" s="59" customFormat="1" x14ac:dyDescent="0.25">
      <c r="A100" s="53"/>
      <c r="B100" s="54" t="str">
        <f>IF($B99="","",IF($B99+1&gt;dropdown!$D$12,"",Schema!B99+1))</f>
        <v/>
      </c>
      <c r="C100" s="55" t="str">
        <f>IF($B99="","",IF($B99+1&gt;dropdown!$D$12,"",EOMONTH(C99,0)+1))</f>
        <v/>
      </c>
      <c r="D100" s="53"/>
      <c r="E100" s="55" t="str">
        <f>IF($B99="","",IF($B99+1&gt;dropdown!$D$12,"",F99+1))</f>
        <v/>
      </c>
      <c r="F100" s="55" t="str">
        <f>IF($B99="","",IF($B99+1&gt;dropdown!$D$12,"",EOMONTH(E100,0)))</f>
        <v/>
      </c>
      <c r="G100" s="56" t="str">
        <f>IF($B99="","",IF($B99+1&gt;dropdown!$D$12,"",(_xlfn.DAYS(F100,E100)+1)/DAY(F100)))</f>
        <v/>
      </c>
      <c r="H100" s="57"/>
      <c r="I100" s="58" t="str">
        <f>IF($B99="","",IF($B99+1&gt;dropdown!$D$12,"",I99-J99))</f>
        <v/>
      </c>
      <c r="J100" s="58" t="str">
        <f>IF($B99="","",IF($B99+1&gt;dropdown!$D$12,"",IF(B99&lt;dropdown!$D$13,0,IF(Aflossingsmethode="Lineair",Aflossingsbedrag,IF(Aflossingsmethode="Annuïteit",IFERROR(Bedrag_annuïteit-K100,0),0)))))</f>
        <v/>
      </c>
      <c r="K100" s="58" t="str">
        <f>IF($B99="","",IF($B99+1&gt;dropdown!$D$12,"",G100*I100*Rentekosten))</f>
        <v/>
      </c>
      <c r="L100" s="58" t="str">
        <f t="shared" si="15"/>
        <v/>
      </c>
      <c r="M100" s="58" t="str">
        <f t="shared" si="9"/>
        <v/>
      </c>
      <c r="N100" s="57"/>
      <c r="O100" s="60" t="str">
        <f t="shared" si="10"/>
        <v/>
      </c>
      <c r="P100" s="60" t="str">
        <f t="shared" si="11"/>
        <v/>
      </c>
      <c r="Q100" s="60" t="str">
        <f t="shared" si="16"/>
        <v/>
      </c>
      <c r="R100" s="57"/>
      <c r="S100" s="58" t="str">
        <f t="shared" si="12"/>
        <v/>
      </c>
      <c r="T100" s="58" t="str">
        <f t="shared" si="13"/>
        <v/>
      </c>
      <c r="U100" s="61" t="str">
        <f t="shared" si="17"/>
        <v/>
      </c>
      <c r="V100" s="58" t="str">
        <f t="shared" si="14"/>
        <v/>
      </c>
      <c r="W100" s="57"/>
    </row>
    <row r="101" spans="1:23" s="59" customFormat="1" x14ac:dyDescent="0.25">
      <c r="A101" s="53"/>
      <c r="B101" s="54" t="str">
        <f>IF($B100="","",IF($B100+1&gt;dropdown!$D$12,"",Schema!B100+1))</f>
        <v/>
      </c>
      <c r="C101" s="55" t="str">
        <f>IF($B100="","",IF($B100+1&gt;dropdown!$D$12,"",EOMONTH(C100,0)+1))</f>
        <v/>
      </c>
      <c r="D101" s="53"/>
      <c r="E101" s="55" t="str">
        <f>IF($B100="","",IF($B100+1&gt;dropdown!$D$12,"",F100+1))</f>
        <v/>
      </c>
      <c r="F101" s="55" t="str">
        <f>IF($B100="","",IF($B100+1&gt;dropdown!$D$12,"",EOMONTH(E101,0)))</f>
        <v/>
      </c>
      <c r="G101" s="56" t="str">
        <f>IF($B100="","",IF($B100+1&gt;dropdown!$D$12,"",(_xlfn.DAYS(F101,E101)+1)/DAY(F101)))</f>
        <v/>
      </c>
      <c r="H101" s="57"/>
      <c r="I101" s="58" t="str">
        <f>IF($B100="","",IF($B100+1&gt;dropdown!$D$12,"",I100-J100))</f>
        <v/>
      </c>
      <c r="J101" s="58" t="str">
        <f>IF($B100="","",IF($B100+1&gt;dropdown!$D$12,"",IF(B100&lt;dropdown!$D$13,0,IF(Aflossingsmethode="Lineair",Aflossingsbedrag,IF(Aflossingsmethode="Annuïteit",IFERROR(Bedrag_annuïteit-K101,0),0)))))</f>
        <v/>
      </c>
      <c r="K101" s="58" t="str">
        <f>IF($B100="","",IF($B100+1&gt;dropdown!$D$12,"",G101*I101*Rentekosten))</f>
        <v/>
      </c>
      <c r="L101" s="58" t="str">
        <f t="shared" si="15"/>
        <v/>
      </c>
      <c r="M101" s="58" t="str">
        <f t="shared" si="9"/>
        <v/>
      </c>
      <c r="N101" s="57"/>
      <c r="O101" s="60" t="str">
        <f t="shared" si="10"/>
        <v/>
      </c>
      <c r="P101" s="60" t="str">
        <f t="shared" si="11"/>
        <v/>
      </c>
      <c r="Q101" s="60" t="str">
        <f t="shared" si="16"/>
        <v/>
      </c>
      <c r="R101" s="57"/>
      <c r="S101" s="58" t="str">
        <f t="shared" si="12"/>
        <v/>
      </c>
      <c r="T101" s="58" t="str">
        <f t="shared" si="13"/>
        <v/>
      </c>
      <c r="U101" s="61" t="str">
        <f t="shared" si="17"/>
        <v/>
      </c>
      <c r="V101" s="58" t="str">
        <f t="shared" si="14"/>
        <v/>
      </c>
      <c r="W101" s="57"/>
    </row>
    <row r="102" spans="1:23" s="59" customFormat="1" x14ac:dyDescent="0.25">
      <c r="A102" s="53"/>
      <c r="B102" s="54" t="str">
        <f>IF($B101="","",IF($B101+1&gt;dropdown!$D$12,"",Schema!B101+1))</f>
        <v/>
      </c>
      <c r="C102" s="55" t="str">
        <f>IF($B101="","",IF($B101+1&gt;dropdown!$D$12,"",EOMONTH(C101,0)+1))</f>
        <v/>
      </c>
      <c r="D102" s="53"/>
      <c r="E102" s="55" t="str">
        <f>IF($B101="","",IF($B101+1&gt;dropdown!$D$12,"",F101+1))</f>
        <v/>
      </c>
      <c r="F102" s="55" t="str">
        <f>IF($B101="","",IF($B101+1&gt;dropdown!$D$12,"",EOMONTH(E102,0)))</f>
        <v/>
      </c>
      <c r="G102" s="56" t="str">
        <f>IF($B101="","",IF($B101+1&gt;dropdown!$D$12,"",(_xlfn.DAYS(F102,E102)+1)/DAY(F102)))</f>
        <v/>
      </c>
      <c r="H102" s="57"/>
      <c r="I102" s="58" t="str">
        <f>IF($B101="","",IF($B101+1&gt;dropdown!$D$12,"",I101-J101))</f>
        <v/>
      </c>
      <c r="J102" s="58" t="str">
        <f>IF($B101="","",IF($B101+1&gt;dropdown!$D$12,"",IF(B101&lt;dropdown!$D$13,0,IF(Aflossingsmethode="Lineair",Aflossingsbedrag,IF(Aflossingsmethode="Annuïteit",IFERROR(Bedrag_annuïteit-K102,0),0)))))</f>
        <v/>
      </c>
      <c r="K102" s="58" t="str">
        <f>IF($B101="","",IF($B101+1&gt;dropdown!$D$12,"",G102*I102*Rentekosten))</f>
        <v/>
      </c>
      <c r="L102" s="58" t="str">
        <f t="shared" si="15"/>
        <v/>
      </c>
      <c r="M102" s="58" t="str">
        <f t="shared" si="9"/>
        <v/>
      </c>
      <c r="N102" s="57"/>
      <c r="O102" s="60" t="str">
        <f t="shared" si="10"/>
        <v/>
      </c>
      <c r="P102" s="60" t="str">
        <f t="shared" si="11"/>
        <v/>
      </c>
      <c r="Q102" s="60" t="str">
        <f t="shared" si="16"/>
        <v/>
      </c>
      <c r="R102" s="57"/>
      <c r="S102" s="58" t="str">
        <f t="shared" si="12"/>
        <v/>
      </c>
      <c r="T102" s="58" t="str">
        <f t="shared" si="13"/>
        <v/>
      </c>
      <c r="U102" s="61" t="str">
        <f t="shared" si="17"/>
        <v/>
      </c>
      <c r="V102" s="58" t="str">
        <f t="shared" si="14"/>
        <v/>
      </c>
      <c r="W102" s="57"/>
    </row>
    <row r="103" spans="1:23" s="59" customFormat="1" x14ac:dyDescent="0.25">
      <c r="A103" s="53"/>
      <c r="B103" s="54" t="str">
        <f>IF($B102="","",IF($B102+1&gt;dropdown!$D$12,"",Schema!B102+1))</f>
        <v/>
      </c>
      <c r="C103" s="55" t="str">
        <f>IF($B102="","",IF($B102+1&gt;dropdown!$D$12,"",EOMONTH(C102,0)+1))</f>
        <v/>
      </c>
      <c r="D103" s="53"/>
      <c r="E103" s="55" t="str">
        <f>IF($B102="","",IF($B102+1&gt;dropdown!$D$12,"",F102+1))</f>
        <v/>
      </c>
      <c r="F103" s="55" t="str">
        <f>IF($B102="","",IF($B102+1&gt;dropdown!$D$12,"",EOMONTH(E103,0)))</f>
        <v/>
      </c>
      <c r="G103" s="56" t="str">
        <f>IF($B102="","",IF($B102+1&gt;dropdown!$D$12,"",(_xlfn.DAYS(F103,E103)+1)/DAY(F103)))</f>
        <v/>
      </c>
      <c r="H103" s="57"/>
      <c r="I103" s="58" t="str">
        <f>IF($B102="","",IF($B102+1&gt;dropdown!$D$12,"",I102-J102))</f>
        <v/>
      </c>
      <c r="J103" s="58" t="str">
        <f>IF($B102="","",IF($B102+1&gt;dropdown!$D$12,"",IF(B102&lt;dropdown!$D$13,0,IF(Aflossingsmethode="Lineair",Aflossingsbedrag,IF(Aflossingsmethode="Annuïteit",IFERROR(Bedrag_annuïteit-K103,0),0)))))</f>
        <v/>
      </c>
      <c r="K103" s="58" t="str">
        <f>IF($B102="","",IF($B102+1&gt;dropdown!$D$12,"",G103*I103*Rentekosten))</f>
        <v/>
      </c>
      <c r="L103" s="58" t="str">
        <f t="shared" si="15"/>
        <v/>
      </c>
      <c r="M103" s="58" t="str">
        <f t="shared" si="9"/>
        <v/>
      </c>
      <c r="N103" s="57"/>
      <c r="O103" s="60" t="str">
        <f t="shared" si="10"/>
        <v/>
      </c>
      <c r="P103" s="60" t="str">
        <f t="shared" si="11"/>
        <v/>
      </c>
      <c r="Q103" s="60" t="str">
        <f t="shared" si="16"/>
        <v/>
      </c>
      <c r="R103" s="57"/>
      <c r="S103" s="58" t="str">
        <f t="shared" si="12"/>
        <v/>
      </c>
      <c r="T103" s="58" t="str">
        <f t="shared" si="13"/>
        <v/>
      </c>
      <c r="U103" s="61" t="str">
        <f t="shared" si="17"/>
        <v/>
      </c>
      <c r="V103" s="58" t="str">
        <f t="shared" si="14"/>
        <v/>
      </c>
      <c r="W103" s="57"/>
    </row>
    <row r="104" spans="1:23" s="59" customFormat="1" x14ac:dyDescent="0.25">
      <c r="A104" s="53"/>
      <c r="B104" s="54" t="str">
        <f>IF($B103="","",IF($B103+1&gt;dropdown!$D$12,"",Schema!B103+1))</f>
        <v/>
      </c>
      <c r="C104" s="55" t="str">
        <f>IF($B103="","",IF($B103+1&gt;dropdown!$D$12,"",EOMONTH(C103,0)+1))</f>
        <v/>
      </c>
      <c r="D104" s="53"/>
      <c r="E104" s="55" t="str">
        <f>IF($B103="","",IF($B103+1&gt;dropdown!$D$12,"",F103+1))</f>
        <v/>
      </c>
      <c r="F104" s="55" t="str">
        <f>IF($B103="","",IF($B103+1&gt;dropdown!$D$12,"",EOMONTH(E104,0)))</f>
        <v/>
      </c>
      <c r="G104" s="56" t="str">
        <f>IF($B103="","",IF($B103+1&gt;dropdown!$D$12,"",(_xlfn.DAYS(F104,E104)+1)/DAY(F104)))</f>
        <v/>
      </c>
      <c r="H104" s="57"/>
      <c r="I104" s="58" t="str">
        <f>IF($B103="","",IF($B103+1&gt;dropdown!$D$12,"",I103-J103))</f>
        <v/>
      </c>
      <c r="J104" s="58" t="str">
        <f>IF($B103="","",IF($B103+1&gt;dropdown!$D$12,"",IF(B103&lt;dropdown!$D$13,0,IF(Aflossingsmethode="Lineair",Aflossingsbedrag,IF(Aflossingsmethode="Annuïteit",IFERROR(Bedrag_annuïteit-K104,0),0)))))</f>
        <v/>
      </c>
      <c r="K104" s="58" t="str">
        <f>IF($B103="","",IF($B103+1&gt;dropdown!$D$12,"",G104*I104*Rentekosten))</f>
        <v/>
      </c>
      <c r="L104" s="58" t="str">
        <f t="shared" si="15"/>
        <v/>
      </c>
      <c r="M104" s="58" t="str">
        <f t="shared" si="9"/>
        <v/>
      </c>
      <c r="N104" s="57"/>
      <c r="O104" s="60" t="str">
        <f t="shared" si="10"/>
        <v/>
      </c>
      <c r="P104" s="60" t="str">
        <f t="shared" si="11"/>
        <v/>
      </c>
      <c r="Q104" s="60" t="str">
        <f t="shared" si="16"/>
        <v/>
      </c>
      <c r="R104" s="57"/>
      <c r="S104" s="58" t="str">
        <f t="shared" si="12"/>
        <v/>
      </c>
      <c r="T104" s="58" t="str">
        <f t="shared" si="13"/>
        <v/>
      </c>
      <c r="U104" s="61" t="str">
        <f t="shared" si="17"/>
        <v/>
      </c>
      <c r="V104" s="58" t="str">
        <f t="shared" si="14"/>
        <v/>
      </c>
      <c r="W104" s="57"/>
    </row>
    <row r="105" spans="1:23" s="59" customFormat="1" x14ac:dyDescent="0.25">
      <c r="A105" s="53"/>
      <c r="B105" s="54" t="str">
        <f>IF($B104="","",IF($B104+1&gt;dropdown!$D$12,"",Schema!B104+1))</f>
        <v/>
      </c>
      <c r="C105" s="55" t="str">
        <f>IF($B104="","",IF($B104+1&gt;dropdown!$D$12,"",EOMONTH(C104,0)+1))</f>
        <v/>
      </c>
      <c r="D105" s="53"/>
      <c r="E105" s="55" t="str">
        <f>IF($B104="","",IF($B104+1&gt;dropdown!$D$12,"",F104+1))</f>
        <v/>
      </c>
      <c r="F105" s="55" t="str">
        <f>IF($B104="","",IF($B104+1&gt;dropdown!$D$12,"",EOMONTH(E105,0)))</f>
        <v/>
      </c>
      <c r="G105" s="56" t="str">
        <f>IF($B104="","",IF($B104+1&gt;dropdown!$D$12,"",(_xlfn.DAYS(F105,E105)+1)/DAY(F105)))</f>
        <v/>
      </c>
      <c r="H105" s="57"/>
      <c r="I105" s="58" t="str">
        <f>IF($B104="","",IF($B104+1&gt;dropdown!$D$12,"",I104-J104))</f>
        <v/>
      </c>
      <c r="J105" s="58" t="str">
        <f>IF($B104="","",IF($B104+1&gt;dropdown!$D$12,"",IF(B104&lt;dropdown!$D$13,0,IF(Aflossingsmethode="Lineair",Aflossingsbedrag,IF(Aflossingsmethode="Annuïteit",IFERROR(Bedrag_annuïteit-K105,0),0)))))</f>
        <v/>
      </c>
      <c r="K105" s="58" t="str">
        <f>IF($B104="","",IF($B104+1&gt;dropdown!$D$12,"",G105*I105*Rentekosten))</f>
        <v/>
      </c>
      <c r="L105" s="58" t="str">
        <f t="shared" si="15"/>
        <v/>
      </c>
      <c r="M105" s="58" t="str">
        <f t="shared" si="9"/>
        <v/>
      </c>
      <c r="N105" s="57"/>
      <c r="O105" s="60" t="str">
        <f t="shared" si="10"/>
        <v/>
      </c>
      <c r="P105" s="60" t="str">
        <f t="shared" si="11"/>
        <v/>
      </c>
      <c r="Q105" s="60" t="str">
        <f t="shared" si="16"/>
        <v/>
      </c>
      <c r="R105" s="57"/>
      <c r="S105" s="58" t="str">
        <f t="shared" si="12"/>
        <v/>
      </c>
      <c r="T105" s="58" t="str">
        <f t="shared" si="13"/>
        <v/>
      </c>
      <c r="U105" s="61" t="str">
        <f t="shared" si="17"/>
        <v/>
      </c>
      <c r="V105" s="58" t="str">
        <f t="shared" si="14"/>
        <v/>
      </c>
      <c r="W105" s="57"/>
    </row>
    <row r="106" spans="1:23" s="59" customFormat="1" x14ac:dyDescent="0.25">
      <c r="A106" s="53"/>
      <c r="B106" s="54" t="str">
        <f>IF($B105="","",IF($B105+1&gt;dropdown!$D$12,"",Schema!B105+1))</f>
        <v/>
      </c>
      <c r="C106" s="55" t="str">
        <f>IF($B105="","",IF($B105+1&gt;dropdown!$D$12,"",EOMONTH(C105,0)+1))</f>
        <v/>
      </c>
      <c r="D106" s="53"/>
      <c r="E106" s="55" t="str">
        <f>IF($B105="","",IF($B105+1&gt;dropdown!$D$12,"",F105+1))</f>
        <v/>
      </c>
      <c r="F106" s="55" t="str">
        <f>IF($B105="","",IF($B105+1&gt;dropdown!$D$12,"",EOMONTH(E106,0)))</f>
        <v/>
      </c>
      <c r="G106" s="56" t="str">
        <f>IF($B105="","",IF($B105+1&gt;dropdown!$D$12,"",(_xlfn.DAYS(F106,E106)+1)/DAY(F106)))</f>
        <v/>
      </c>
      <c r="H106" s="57"/>
      <c r="I106" s="58" t="str">
        <f>IF($B105="","",IF($B105+1&gt;dropdown!$D$12,"",I105-J105))</f>
        <v/>
      </c>
      <c r="J106" s="58" t="str">
        <f>IF($B105="","",IF($B105+1&gt;dropdown!$D$12,"",IF(B105&lt;dropdown!$D$13,0,IF(Aflossingsmethode="Lineair",Aflossingsbedrag,IF(Aflossingsmethode="Annuïteit",IFERROR(Bedrag_annuïteit-K106,0),0)))))</f>
        <v/>
      </c>
      <c r="K106" s="58" t="str">
        <f>IF($B105="","",IF($B105+1&gt;dropdown!$D$12,"",G106*I106*Rentekosten))</f>
        <v/>
      </c>
      <c r="L106" s="58" t="str">
        <f t="shared" si="15"/>
        <v/>
      </c>
      <c r="M106" s="58" t="str">
        <f t="shared" si="9"/>
        <v/>
      </c>
      <c r="N106" s="57"/>
      <c r="O106" s="60" t="str">
        <f t="shared" si="10"/>
        <v/>
      </c>
      <c r="P106" s="60" t="str">
        <f t="shared" si="11"/>
        <v/>
      </c>
      <c r="Q106" s="60" t="str">
        <f t="shared" si="16"/>
        <v/>
      </c>
      <c r="R106" s="57"/>
      <c r="S106" s="58" t="str">
        <f t="shared" si="12"/>
        <v/>
      </c>
      <c r="T106" s="58" t="str">
        <f t="shared" si="13"/>
        <v/>
      </c>
      <c r="U106" s="61" t="str">
        <f t="shared" si="17"/>
        <v/>
      </c>
      <c r="V106" s="58" t="str">
        <f t="shared" si="14"/>
        <v/>
      </c>
      <c r="W106" s="57"/>
    </row>
    <row r="107" spans="1:23" s="59" customFormat="1" x14ac:dyDescent="0.25">
      <c r="A107" s="53"/>
      <c r="B107" s="54" t="str">
        <f>IF($B106="","",IF($B106+1&gt;dropdown!$D$12,"",Schema!B106+1))</f>
        <v/>
      </c>
      <c r="C107" s="55" t="str">
        <f>IF($B106="","",IF($B106+1&gt;dropdown!$D$12,"",EOMONTH(C106,0)+1))</f>
        <v/>
      </c>
      <c r="D107" s="53"/>
      <c r="E107" s="55" t="str">
        <f>IF($B106="","",IF($B106+1&gt;dropdown!$D$12,"",F106+1))</f>
        <v/>
      </c>
      <c r="F107" s="55" t="str">
        <f>IF($B106="","",IF($B106+1&gt;dropdown!$D$12,"",EOMONTH(E107,0)))</f>
        <v/>
      </c>
      <c r="G107" s="56" t="str">
        <f>IF($B106="","",IF($B106+1&gt;dropdown!$D$12,"",(_xlfn.DAYS(F107,E107)+1)/DAY(F107)))</f>
        <v/>
      </c>
      <c r="H107" s="57"/>
      <c r="I107" s="58" t="str">
        <f>IF($B106="","",IF($B106+1&gt;dropdown!$D$12,"",I106-J106))</f>
        <v/>
      </c>
      <c r="J107" s="58" t="str">
        <f>IF($B106="","",IF($B106+1&gt;dropdown!$D$12,"",IF(B106&lt;dropdown!$D$13,0,IF(Aflossingsmethode="Lineair",Aflossingsbedrag,IF(Aflossingsmethode="Annuïteit",IFERROR(Bedrag_annuïteit-K107,0),0)))))</f>
        <v/>
      </c>
      <c r="K107" s="58" t="str">
        <f>IF($B106="","",IF($B106+1&gt;dropdown!$D$12,"",G107*I107*Rentekosten))</f>
        <v/>
      </c>
      <c r="L107" s="58" t="str">
        <f t="shared" si="15"/>
        <v/>
      </c>
      <c r="M107" s="58" t="str">
        <f t="shared" si="9"/>
        <v/>
      </c>
      <c r="N107" s="57"/>
      <c r="O107" s="60" t="str">
        <f t="shared" si="10"/>
        <v/>
      </c>
      <c r="P107" s="60" t="str">
        <f t="shared" si="11"/>
        <v/>
      </c>
      <c r="Q107" s="60" t="str">
        <f t="shared" si="16"/>
        <v/>
      </c>
      <c r="R107" s="57"/>
      <c r="S107" s="58" t="str">
        <f t="shared" si="12"/>
        <v/>
      </c>
      <c r="T107" s="58" t="str">
        <f t="shared" si="13"/>
        <v/>
      </c>
      <c r="U107" s="61" t="str">
        <f t="shared" si="17"/>
        <v/>
      </c>
      <c r="V107" s="58" t="str">
        <f t="shared" si="14"/>
        <v/>
      </c>
      <c r="W107" s="57"/>
    </row>
    <row r="108" spans="1:23" s="59" customFormat="1" x14ac:dyDescent="0.25">
      <c r="A108" s="53"/>
      <c r="B108" s="54" t="str">
        <f>IF($B107="","",IF($B107+1&gt;dropdown!$D$12,"",Schema!B107+1))</f>
        <v/>
      </c>
      <c r="C108" s="55" t="str">
        <f>IF($B107="","",IF($B107+1&gt;dropdown!$D$12,"",EOMONTH(C107,0)+1))</f>
        <v/>
      </c>
      <c r="D108" s="53"/>
      <c r="E108" s="55" t="str">
        <f>IF($B107="","",IF($B107+1&gt;dropdown!$D$12,"",F107+1))</f>
        <v/>
      </c>
      <c r="F108" s="55" t="str">
        <f>IF($B107="","",IF($B107+1&gt;dropdown!$D$12,"",EOMONTH(E108,0)))</f>
        <v/>
      </c>
      <c r="G108" s="56" t="str">
        <f>IF($B107="","",IF($B107+1&gt;dropdown!$D$12,"",(_xlfn.DAYS(F108,E108)+1)/DAY(F108)))</f>
        <v/>
      </c>
      <c r="H108" s="57"/>
      <c r="I108" s="58" t="str">
        <f>IF($B107="","",IF($B107+1&gt;dropdown!$D$12,"",I107-J107))</f>
        <v/>
      </c>
      <c r="J108" s="58" t="str">
        <f>IF($B107="","",IF($B107+1&gt;dropdown!$D$12,"",IF(B107&lt;dropdown!$D$13,0,IF(Aflossingsmethode="Lineair",Aflossingsbedrag,IF(Aflossingsmethode="Annuïteit",IFERROR(Bedrag_annuïteit-K108,0),0)))))</f>
        <v/>
      </c>
      <c r="K108" s="58" t="str">
        <f>IF($B107="","",IF($B107+1&gt;dropdown!$D$12,"",G108*I108*Rentekosten))</f>
        <v/>
      </c>
      <c r="L108" s="58" t="str">
        <f t="shared" si="15"/>
        <v/>
      </c>
      <c r="M108" s="58" t="str">
        <f t="shared" si="9"/>
        <v/>
      </c>
      <c r="N108" s="57"/>
      <c r="O108" s="60" t="str">
        <f t="shared" si="10"/>
        <v/>
      </c>
      <c r="P108" s="60" t="str">
        <f t="shared" si="11"/>
        <v/>
      </c>
      <c r="Q108" s="60" t="str">
        <f t="shared" si="16"/>
        <v/>
      </c>
      <c r="R108" s="57"/>
      <c r="S108" s="58" t="str">
        <f t="shared" si="12"/>
        <v/>
      </c>
      <c r="T108" s="58" t="str">
        <f t="shared" si="13"/>
        <v/>
      </c>
      <c r="U108" s="61" t="str">
        <f t="shared" si="17"/>
        <v/>
      </c>
      <c r="V108" s="58" t="str">
        <f t="shared" si="14"/>
        <v/>
      </c>
      <c r="W108" s="57"/>
    </row>
    <row r="109" spans="1:23" s="59" customFormat="1" x14ac:dyDescent="0.25">
      <c r="A109" s="53"/>
      <c r="B109" s="54" t="str">
        <f>IF($B108="","",IF($B108+1&gt;dropdown!$D$12,"",Schema!B108+1))</f>
        <v/>
      </c>
      <c r="C109" s="55" t="str">
        <f>IF($B108="","",IF($B108+1&gt;dropdown!$D$12,"",EOMONTH(C108,0)+1))</f>
        <v/>
      </c>
      <c r="D109" s="53"/>
      <c r="E109" s="55" t="str">
        <f>IF($B108="","",IF($B108+1&gt;dropdown!$D$12,"",F108+1))</f>
        <v/>
      </c>
      <c r="F109" s="55" t="str">
        <f>IF($B108="","",IF($B108+1&gt;dropdown!$D$12,"",EOMONTH(E109,0)))</f>
        <v/>
      </c>
      <c r="G109" s="56" t="str">
        <f>IF($B108="","",IF($B108+1&gt;dropdown!$D$12,"",(_xlfn.DAYS(F109,E109)+1)/DAY(F109)))</f>
        <v/>
      </c>
      <c r="H109" s="57"/>
      <c r="I109" s="58" t="str">
        <f>IF($B108="","",IF($B108+1&gt;dropdown!$D$12,"",I108-J108))</f>
        <v/>
      </c>
      <c r="J109" s="58" t="str">
        <f>IF($B108="","",IF($B108+1&gt;dropdown!$D$12,"",IF(B108&lt;dropdown!$D$13,0,IF(Aflossingsmethode="Lineair",Aflossingsbedrag,IF(Aflossingsmethode="Annuïteit",IFERROR(Bedrag_annuïteit-K109,0),0)))))</f>
        <v/>
      </c>
      <c r="K109" s="58" t="str">
        <f>IF($B108="","",IF($B108+1&gt;dropdown!$D$12,"",G109*I109*Rentekosten))</f>
        <v/>
      </c>
      <c r="L109" s="58" t="str">
        <f t="shared" si="15"/>
        <v/>
      </c>
      <c r="M109" s="58" t="str">
        <f t="shared" si="9"/>
        <v/>
      </c>
      <c r="N109" s="57"/>
      <c r="O109" s="60" t="str">
        <f t="shared" si="10"/>
        <v/>
      </c>
      <c r="P109" s="60" t="str">
        <f t="shared" si="11"/>
        <v/>
      </c>
      <c r="Q109" s="60" t="str">
        <f t="shared" si="16"/>
        <v/>
      </c>
      <c r="R109" s="57"/>
      <c r="S109" s="58" t="str">
        <f t="shared" si="12"/>
        <v/>
      </c>
      <c r="T109" s="58" t="str">
        <f t="shared" si="13"/>
        <v/>
      </c>
      <c r="U109" s="61" t="str">
        <f t="shared" si="17"/>
        <v/>
      </c>
      <c r="V109" s="58" t="str">
        <f t="shared" si="14"/>
        <v/>
      </c>
      <c r="W109" s="57"/>
    </row>
    <row r="110" spans="1:23" s="59" customFormat="1" x14ac:dyDescent="0.25">
      <c r="A110" s="53"/>
      <c r="B110" s="54" t="str">
        <f>IF($B109="","",IF($B109+1&gt;dropdown!$D$12,"",Schema!B109+1))</f>
        <v/>
      </c>
      <c r="C110" s="55" t="str">
        <f>IF($B109="","",IF($B109+1&gt;dropdown!$D$12,"",EOMONTH(C109,0)+1))</f>
        <v/>
      </c>
      <c r="D110" s="53"/>
      <c r="E110" s="55" t="str">
        <f>IF($B109="","",IF($B109+1&gt;dropdown!$D$12,"",F109+1))</f>
        <v/>
      </c>
      <c r="F110" s="55" t="str">
        <f>IF($B109="","",IF($B109+1&gt;dropdown!$D$12,"",EOMONTH(E110,0)))</f>
        <v/>
      </c>
      <c r="G110" s="56" t="str">
        <f>IF($B109="","",IF($B109+1&gt;dropdown!$D$12,"",(_xlfn.DAYS(F110,E110)+1)/DAY(F110)))</f>
        <v/>
      </c>
      <c r="H110" s="57"/>
      <c r="I110" s="58" t="str">
        <f>IF($B109="","",IF($B109+1&gt;dropdown!$D$12,"",I109-J109))</f>
        <v/>
      </c>
      <c r="J110" s="58" t="str">
        <f>IF($B109="","",IF($B109+1&gt;dropdown!$D$12,"",IF(B109&lt;dropdown!$D$13,0,IF(Aflossingsmethode="Lineair",Aflossingsbedrag,IF(Aflossingsmethode="Annuïteit",IFERROR(Bedrag_annuïteit-K110,0),0)))))</f>
        <v/>
      </c>
      <c r="K110" s="58" t="str">
        <f>IF($B109="","",IF($B109+1&gt;dropdown!$D$12,"",G110*I110*Rentekosten))</f>
        <v/>
      </c>
      <c r="L110" s="58" t="str">
        <f t="shared" si="15"/>
        <v/>
      </c>
      <c r="M110" s="58" t="str">
        <f t="shared" si="9"/>
        <v/>
      </c>
      <c r="N110" s="57"/>
      <c r="O110" s="60" t="str">
        <f t="shared" si="10"/>
        <v/>
      </c>
      <c r="P110" s="60" t="str">
        <f t="shared" si="11"/>
        <v/>
      </c>
      <c r="Q110" s="60" t="str">
        <f t="shared" si="16"/>
        <v/>
      </c>
      <c r="R110" s="57"/>
      <c r="S110" s="58" t="str">
        <f t="shared" si="12"/>
        <v/>
      </c>
      <c r="T110" s="58" t="str">
        <f t="shared" si="13"/>
        <v/>
      </c>
      <c r="U110" s="61" t="str">
        <f t="shared" si="17"/>
        <v/>
      </c>
      <c r="V110" s="58" t="str">
        <f t="shared" si="14"/>
        <v/>
      </c>
      <c r="W110" s="57"/>
    </row>
    <row r="111" spans="1:23" s="59" customFormat="1" x14ac:dyDescent="0.25">
      <c r="A111" s="53"/>
      <c r="B111" s="54" t="str">
        <f>IF($B110="","",IF($B110+1&gt;dropdown!$D$12,"",Schema!B110+1))</f>
        <v/>
      </c>
      <c r="C111" s="55" t="str">
        <f>IF($B110="","",IF($B110+1&gt;dropdown!$D$12,"",EOMONTH(C110,0)+1))</f>
        <v/>
      </c>
      <c r="D111" s="53"/>
      <c r="E111" s="55" t="str">
        <f>IF($B110="","",IF($B110+1&gt;dropdown!$D$12,"",F110+1))</f>
        <v/>
      </c>
      <c r="F111" s="55" t="str">
        <f>IF($B110="","",IF($B110+1&gt;dropdown!$D$12,"",EOMONTH(E111,0)))</f>
        <v/>
      </c>
      <c r="G111" s="56" t="str">
        <f>IF($B110="","",IF($B110+1&gt;dropdown!$D$12,"",(_xlfn.DAYS(F111,E111)+1)/DAY(F111)))</f>
        <v/>
      </c>
      <c r="H111" s="57"/>
      <c r="I111" s="58" t="str">
        <f>IF($B110="","",IF($B110+1&gt;dropdown!$D$12,"",I110-J110))</f>
        <v/>
      </c>
      <c r="J111" s="58" t="str">
        <f>IF($B110="","",IF($B110+1&gt;dropdown!$D$12,"",IF(B110&lt;dropdown!$D$13,0,IF(Aflossingsmethode="Lineair",Aflossingsbedrag,IF(Aflossingsmethode="Annuïteit",IFERROR(Bedrag_annuïteit-K111,0),0)))))</f>
        <v/>
      </c>
      <c r="K111" s="58" t="str">
        <f>IF($B110="","",IF($B110+1&gt;dropdown!$D$12,"",G111*I111*Rentekosten))</f>
        <v/>
      </c>
      <c r="L111" s="58" t="str">
        <f t="shared" si="15"/>
        <v/>
      </c>
      <c r="M111" s="58" t="str">
        <f t="shared" si="9"/>
        <v/>
      </c>
      <c r="N111" s="57"/>
      <c r="O111" s="60" t="str">
        <f t="shared" si="10"/>
        <v/>
      </c>
      <c r="P111" s="60" t="str">
        <f t="shared" si="11"/>
        <v/>
      </c>
      <c r="Q111" s="60" t="str">
        <f t="shared" si="16"/>
        <v/>
      </c>
      <c r="R111" s="57"/>
      <c r="S111" s="58" t="str">
        <f t="shared" si="12"/>
        <v/>
      </c>
      <c r="T111" s="58" t="str">
        <f t="shared" si="13"/>
        <v/>
      </c>
      <c r="U111" s="61" t="str">
        <f t="shared" si="17"/>
        <v/>
      </c>
      <c r="V111" s="58" t="str">
        <f t="shared" si="14"/>
        <v/>
      </c>
      <c r="W111" s="57"/>
    </row>
    <row r="112" spans="1:23" s="59" customFormat="1" x14ac:dyDescent="0.25">
      <c r="A112" s="53"/>
      <c r="B112" s="54" t="str">
        <f>IF($B111="","",IF($B111+1&gt;dropdown!$D$12,"",Schema!B111+1))</f>
        <v/>
      </c>
      <c r="C112" s="55" t="str">
        <f>IF($B111="","",IF($B111+1&gt;dropdown!$D$12,"",EOMONTH(C111,0)+1))</f>
        <v/>
      </c>
      <c r="D112" s="53"/>
      <c r="E112" s="55" t="str">
        <f>IF($B111="","",IF($B111+1&gt;dropdown!$D$12,"",F111+1))</f>
        <v/>
      </c>
      <c r="F112" s="55" t="str">
        <f>IF($B111="","",IF($B111+1&gt;dropdown!$D$12,"",EOMONTH(E112,0)))</f>
        <v/>
      </c>
      <c r="G112" s="56" t="str">
        <f>IF($B111="","",IF($B111+1&gt;dropdown!$D$12,"",(_xlfn.DAYS(F112,E112)+1)/DAY(F112)))</f>
        <v/>
      </c>
      <c r="H112" s="57"/>
      <c r="I112" s="58" t="str">
        <f>IF($B111="","",IF($B111+1&gt;dropdown!$D$12,"",I111-J111))</f>
        <v/>
      </c>
      <c r="J112" s="58" t="str">
        <f>IF($B111="","",IF($B111+1&gt;dropdown!$D$12,"",IF(B111&lt;dropdown!$D$13,0,IF(Aflossingsmethode="Lineair",Aflossingsbedrag,IF(Aflossingsmethode="Annuïteit",IFERROR(Bedrag_annuïteit-K112,0),0)))))</f>
        <v/>
      </c>
      <c r="K112" s="58" t="str">
        <f>IF($B111="","",IF($B111+1&gt;dropdown!$D$12,"",G112*I112*Rentekosten))</f>
        <v/>
      </c>
      <c r="L112" s="58" t="str">
        <f t="shared" si="15"/>
        <v/>
      </c>
      <c r="M112" s="58" t="str">
        <f t="shared" si="9"/>
        <v/>
      </c>
      <c r="N112" s="57"/>
      <c r="O112" s="60" t="str">
        <f t="shared" si="10"/>
        <v/>
      </c>
      <c r="P112" s="60" t="str">
        <f t="shared" si="11"/>
        <v/>
      </c>
      <c r="Q112" s="60" t="str">
        <f t="shared" si="16"/>
        <v/>
      </c>
      <c r="R112" s="57"/>
      <c r="S112" s="58" t="str">
        <f t="shared" si="12"/>
        <v/>
      </c>
      <c r="T112" s="58" t="str">
        <f t="shared" si="13"/>
        <v/>
      </c>
      <c r="U112" s="61" t="str">
        <f t="shared" si="17"/>
        <v/>
      </c>
      <c r="V112" s="58" t="str">
        <f t="shared" si="14"/>
        <v/>
      </c>
      <c r="W112" s="57"/>
    </row>
    <row r="113" spans="1:23" s="59" customFormat="1" x14ac:dyDescent="0.25">
      <c r="A113" s="53"/>
      <c r="B113" s="54" t="str">
        <f>IF($B112="","",IF($B112+1&gt;dropdown!$D$12,"",Schema!B112+1))</f>
        <v/>
      </c>
      <c r="C113" s="55" t="str">
        <f>IF($B112="","",IF($B112+1&gt;dropdown!$D$12,"",EOMONTH(C112,0)+1))</f>
        <v/>
      </c>
      <c r="D113" s="53"/>
      <c r="E113" s="55" t="str">
        <f>IF($B112="","",IF($B112+1&gt;dropdown!$D$12,"",F112+1))</f>
        <v/>
      </c>
      <c r="F113" s="55" t="str">
        <f>IF($B112="","",IF($B112+1&gt;dropdown!$D$12,"",EOMONTH(E113,0)))</f>
        <v/>
      </c>
      <c r="G113" s="56" t="str">
        <f>IF($B112="","",IF($B112+1&gt;dropdown!$D$12,"",(_xlfn.DAYS(F113,E113)+1)/DAY(F113)))</f>
        <v/>
      </c>
      <c r="H113" s="57"/>
      <c r="I113" s="58" t="str">
        <f>IF($B112="","",IF($B112+1&gt;dropdown!$D$12,"",I112-J112))</f>
        <v/>
      </c>
      <c r="J113" s="58" t="str">
        <f>IF($B112="","",IF($B112+1&gt;dropdown!$D$12,"",IF(B112&lt;dropdown!$D$13,0,IF(Aflossingsmethode="Lineair",Aflossingsbedrag,IF(Aflossingsmethode="Annuïteit",IFERROR(Bedrag_annuïteit-K113,0),0)))))</f>
        <v/>
      </c>
      <c r="K113" s="58" t="str">
        <f>IF($B112="","",IF($B112+1&gt;dropdown!$D$12,"",G113*I113*Rentekosten))</f>
        <v/>
      </c>
      <c r="L113" s="58" t="str">
        <f t="shared" si="15"/>
        <v/>
      </c>
      <c r="M113" s="58" t="str">
        <f t="shared" si="9"/>
        <v/>
      </c>
      <c r="N113" s="57"/>
      <c r="O113" s="60" t="str">
        <f t="shared" si="10"/>
        <v/>
      </c>
      <c r="P113" s="60" t="str">
        <f t="shared" si="11"/>
        <v/>
      </c>
      <c r="Q113" s="60" t="str">
        <f t="shared" si="16"/>
        <v/>
      </c>
      <c r="R113" s="57"/>
      <c r="S113" s="58" t="str">
        <f t="shared" si="12"/>
        <v/>
      </c>
      <c r="T113" s="58" t="str">
        <f t="shared" si="13"/>
        <v/>
      </c>
      <c r="U113" s="61" t="str">
        <f t="shared" si="17"/>
        <v/>
      </c>
      <c r="V113" s="58" t="str">
        <f t="shared" si="14"/>
        <v/>
      </c>
      <c r="W113" s="57"/>
    </row>
    <row r="114" spans="1:23" s="59" customFormat="1" x14ac:dyDescent="0.25">
      <c r="A114" s="53"/>
      <c r="B114" s="54" t="str">
        <f>IF($B113="","",IF($B113+1&gt;dropdown!$D$12,"",Schema!B113+1))</f>
        <v/>
      </c>
      <c r="C114" s="55" t="str">
        <f>IF($B113="","",IF($B113+1&gt;dropdown!$D$12,"",EOMONTH(C113,0)+1))</f>
        <v/>
      </c>
      <c r="D114" s="53"/>
      <c r="E114" s="55" t="str">
        <f>IF($B113="","",IF($B113+1&gt;dropdown!$D$12,"",F113+1))</f>
        <v/>
      </c>
      <c r="F114" s="55" t="str">
        <f>IF($B113="","",IF($B113+1&gt;dropdown!$D$12,"",EOMONTH(E114,0)))</f>
        <v/>
      </c>
      <c r="G114" s="56" t="str">
        <f>IF($B113="","",IF($B113+1&gt;dropdown!$D$12,"",(_xlfn.DAYS(F114,E114)+1)/DAY(F114)))</f>
        <v/>
      </c>
      <c r="H114" s="57"/>
      <c r="I114" s="58" t="str">
        <f>IF($B113="","",IF($B113+1&gt;dropdown!$D$12,"",I113-J113))</f>
        <v/>
      </c>
      <c r="J114" s="58" t="str">
        <f>IF($B113="","",IF($B113+1&gt;dropdown!$D$12,"",IF(B113&lt;dropdown!$D$13,0,IF(Aflossingsmethode="Lineair",Aflossingsbedrag,IF(Aflossingsmethode="Annuïteit",IFERROR(Bedrag_annuïteit-K114,0),0)))))</f>
        <v/>
      </c>
      <c r="K114" s="58" t="str">
        <f>IF($B113="","",IF($B113+1&gt;dropdown!$D$12,"",G114*I114*Rentekosten))</f>
        <v/>
      </c>
      <c r="L114" s="58" t="str">
        <f t="shared" si="15"/>
        <v/>
      </c>
      <c r="M114" s="58" t="str">
        <f t="shared" si="9"/>
        <v/>
      </c>
      <c r="N114" s="57"/>
      <c r="O114" s="60" t="str">
        <f t="shared" si="10"/>
        <v/>
      </c>
      <c r="P114" s="60" t="str">
        <f t="shared" si="11"/>
        <v/>
      </c>
      <c r="Q114" s="60" t="str">
        <f t="shared" si="16"/>
        <v/>
      </c>
      <c r="R114" s="57"/>
      <c r="S114" s="58" t="str">
        <f t="shared" si="12"/>
        <v/>
      </c>
      <c r="T114" s="58" t="str">
        <f t="shared" si="13"/>
        <v/>
      </c>
      <c r="U114" s="61" t="str">
        <f t="shared" si="17"/>
        <v/>
      </c>
      <c r="V114" s="58" t="str">
        <f t="shared" si="14"/>
        <v/>
      </c>
      <c r="W114" s="57"/>
    </row>
    <row r="115" spans="1:23" s="59" customFormat="1" x14ac:dyDescent="0.25">
      <c r="A115" s="53"/>
      <c r="B115" s="54" t="str">
        <f>IF($B114="","",IF($B114+1&gt;dropdown!$D$12,"",Schema!B114+1))</f>
        <v/>
      </c>
      <c r="C115" s="55" t="str">
        <f>IF($B114="","",IF($B114+1&gt;dropdown!$D$12,"",EOMONTH(C114,0)+1))</f>
        <v/>
      </c>
      <c r="D115" s="53"/>
      <c r="E115" s="55" t="str">
        <f>IF($B114="","",IF($B114+1&gt;dropdown!$D$12,"",F114+1))</f>
        <v/>
      </c>
      <c r="F115" s="55" t="str">
        <f>IF($B114="","",IF($B114+1&gt;dropdown!$D$12,"",EOMONTH(E115,0)))</f>
        <v/>
      </c>
      <c r="G115" s="56" t="str">
        <f>IF($B114="","",IF($B114+1&gt;dropdown!$D$12,"",(_xlfn.DAYS(F115,E115)+1)/DAY(F115)))</f>
        <v/>
      </c>
      <c r="H115" s="57"/>
      <c r="I115" s="58" t="str">
        <f>IF($B114="","",IF($B114+1&gt;dropdown!$D$12,"",I114-J114))</f>
        <v/>
      </c>
      <c r="J115" s="58" t="str">
        <f>IF($B114="","",IF($B114+1&gt;dropdown!$D$12,"",IF(B114&lt;dropdown!$D$13,0,IF(Aflossingsmethode="Lineair",Aflossingsbedrag,IF(Aflossingsmethode="Annuïteit",IFERROR(Bedrag_annuïteit-K115,0),0)))))</f>
        <v/>
      </c>
      <c r="K115" s="58" t="str">
        <f>IF($B114="","",IF($B114+1&gt;dropdown!$D$12,"",G115*I115*Rentekosten))</f>
        <v/>
      </c>
      <c r="L115" s="58" t="str">
        <f t="shared" si="15"/>
        <v/>
      </c>
      <c r="M115" s="58" t="str">
        <f t="shared" si="9"/>
        <v/>
      </c>
      <c r="N115" s="57"/>
      <c r="O115" s="60" t="str">
        <f t="shared" si="10"/>
        <v/>
      </c>
      <c r="P115" s="60" t="str">
        <f t="shared" si="11"/>
        <v/>
      </c>
      <c r="Q115" s="60" t="str">
        <f t="shared" si="16"/>
        <v/>
      </c>
      <c r="R115" s="57"/>
      <c r="S115" s="58" t="str">
        <f t="shared" si="12"/>
        <v/>
      </c>
      <c r="T115" s="58" t="str">
        <f t="shared" si="13"/>
        <v/>
      </c>
      <c r="U115" s="61" t="str">
        <f t="shared" si="17"/>
        <v/>
      </c>
      <c r="V115" s="58" t="str">
        <f t="shared" si="14"/>
        <v/>
      </c>
      <c r="W115" s="57"/>
    </row>
    <row r="116" spans="1:23" s="59" customFormat="1" x14ac:dyDescent="0.25">
      <c r="A116" s="53"/>
      <c r="B116" s="54" t="str">
        <f>IF($B115="","",IF($B115+1&gt;dropdown!$D$12,"",Schema!B115+1))</f>
        <v/>
      </c>
      <c r="C116" s="55" t="str">
        <f>IF($B115="","",IF($B115+1&gt;dropdown!$D$12,"",EOMONTH(C115,0)+1))</f>
        <v/>
      </c>
      <c r="D116" s="53"/>
      <c r="E116" s="55" t="str">
        <f>IF($B115="","",IF($B115+1&gt;dropdown!$D$12,"",F115+1))</f>
        <v/>
      </c>
      <c r="F116" s="55" t="str">
        <f>IF($B115="","",IF($B115+1&gt;dropdown!$D$12,"",EOMONTH(E116,0)))</f>
        <v/>
      </c>
      <c r="G116" s="56" t="str">
        <f>IF($B115="","",IF($B115+1&gt;dropdown!$D$12,"",(_xlfn.DAYS(F116,E116)+1)/DAY(F116)))</f>
        <v/>
      </c>
      <c r="H116" s="57"/>
      <c r="I116" s="58" t="str">
        <f>IF($B115="","",IF($B115+1&gt;dropdown!$D$12,"",I115-J115))</f>
        <v/>
      </c>
      <c r="J116" s="58" t="str">
        <f>IF($B115="","",IF($B115+1&gt;dropdown!$D$12,"",IF(B115&lt;dropdown!$D$13,0,IF(Aflossingsmethode="Lineair",Aflossingsbedrag,IF(Aflossingsmethode="Annuïteit",IFERROR(Bedrag_annuïteit-K116,0),0)))))</f>
        <v/>
      </c>
      <c r="K116" s="58" t="str">
        <f>IF($B115="","",IF($B115+1&gt;dropdown!$D$12,"",G116*I116*Rentekosten))</f>
        <v/>
      </c>
      <c r="L116" s="58" t="str">
        <f t="shared" si="15"/>
        <v/>
      </c>
      <c r="M116" s="58" t="str">
        <f t="shared" si="9"/>
        <v/>
      </c>
      <c r="N116" s="57"/>
      <c r="O116" s="60" t="str">
        <f t="shared" si="10"/>
        <v/>
      </c>
      <c r="P116" s="60" t="str">
        <f t="shared" si="11"/>
        <v/>
      </c>
      <c r="Q116" s="60" t="str">
        <f t="shared" si="16"/>
        <v/>
      </c>
      <c r="R116" s="57"/>
      <c r="S116" s="58" t="str">
        <f t="shared" si="12"/>
        <v/>
      </c>
      <c r="T116" s="58" t="str">
        <f t="shared" si="13"/>
        <v/>
      </c>
      <c r="U116" s="61" t="str">
        <f t="shared" si="17"/>
        <v/>
      </c>
      <c r="V116" s="58" t="str">
        <f t="shared" si="14"/>
        <v/>
      </c>
      <c r="W116" s="57"/>
    </row>
    <row r="117" spans="1:23" s="59" customFormat="1" x14ac:dyDescent="0.25">
      <c r="A117" s="53"/>
      <c r="B117" s="54" t="str">
        <f>IF($B116="","",IF($B116+1&gt;dropdown!$D$12,"",Schema!B116+1))</f>
        <v/>
      </c>
      <c r="C117" s="55" t="str">
        <f>IF($B116="","",IF($B116+1&gt;dropdown!$D$12,"",EOMONTH(C116,0)+1))</f>
        <v/>
      </c>
      <c r="D117" s="53"/>
      <c r="E117" s="55" t="str">
        <f>IF($B116="","",IF($B116+1&gt;dropdown!$D$12,"",F116+1))</f>
        <v/>
      </c>
      <c r="F117" s="55" t="str">
        <f>IF($B116="","",IF($B116+1&gt;dropdown!$D$12,"",EOMONTH(E117,0)))</f>
        <v/>
      </c>
      <c r="G117" s="56" t="str">
        <f>IF($B116="","",IF($B116+1&gt;dropdown!$D$12,"",(_xlfn.DAYS(F117,E117)+1)/DAY(F117)))</f>
        <v/>
      </c>
      <c r="H117" s="57"/>
      <c r="I117" s="58" t="str">
        <f>IF($B116="","",IF($B116+1&gt;dropdown!$D$12,"",I116-J116))</f>
        <v/>
      </c>
      <c r="J117" s="58" t="str">
        <f>IF($B116="","",IF($B116+1&gt;dropdown!$D$12,"",IF(B116&lt;dropdown!$D$13,0,IF(Aflossingsmethode="Lineair",Aflossingsbedrag,IF(Aflossingsmethode="Annuïteit",IFERROR(Bedrag_annuïteit-K117,0),0)))))</f>
        <v/>
      </c>
      <c r="K117" s="58" t="str">
        <f>IF($B116="","",IF($B116+1&gt;dropdown!$D$12,"",G117*I117*Rentekosten))</f>
        <v/>
      </c>
      <c r="L117" s="58" t="str">
        <f t="shared" si="15"/>
        <v/>
      </c>
      <c r="M117" s="58" t="str">
        <f t="shared" si="9"/>
        <v/>
      </c>
      <c r="N117" s="57"/>
      <c r="O117" s="60" t="str">
        <f t="shared" si="10"/>
        <v/>
      </c>
      <c r="P117" s="60" t="str">
        <f t="shared" si="11"/>
        <v/>
      </c>
      <c r="Q117" s="60" t="str">
        <f t="shared" si="16"/>
        <v/>
      </c>
      <c r="R117" s="57"/>
      <c r="S117" s="58" t="str">
        <f t="shared" si="12"/>
        <v/>
      </c>
      <c r="T117" s="58" t="str">
        <f t="shared" si="13"/>
        <v/>
      </c>
      <c r="U117" s="61" t="str">
        <f t="shared" si="17"/>
        <v/>
      </c>
      <c r="V117" s="58" t="str">
        <f t="shared" si="14"/>
        <v/>
      </c>
      <c r="W117" s="57"/>
    </row>
    <row r="118" spans="1:23" s="59" customFormat="1" x14ac:dyDescent="0.25">
      <c r="A118" s="53"/>
      <c r="B118" s="54" t="str">
        <f>IF($B117="","",IF($B117+1&gt;dropdown!$D$12,"",Schema!B117+1))</f>
        <v/>
      </c>
      <c r="C118" s="55" t="str">
        <f>IF($B117="","",IF($B117+1&gt;dropdown!$D$12,"",EOMONTH(C117,0)+1))</f>
        <v/>
      </c>
      <c r="D118" s="53"/>
      <c r="E118" s="55" t="str">
        <f>IF($B117="","",IF($B117+1&gt;dropdown!$D$12,"",F117+1))</f>
        <v/>
      </c>
      <c r="F118" s="55" t="str">
        <f>IF($B117="","",IF($B117+1&gt;dropdown!$D$12,"",EOMONTH(E118,0)))</f>
        <v/>
      </c>
      <c r="G118" s="56" t="str">
        <f>IF($B117="","",IF($B117+1&gt;dropdown!$D$12,"",(_xlfn.DAYS(F118,E118)+1)/DAY(F118)))</f>
        <v/>
      </c>
      <c r="H118" s="57"/>
      <c r="I118" s="58" t="str">
        <f>IF($B117="","",IF($B117+1&gt;dropdown!$D$12,"",I117-J117))</f>
        <v/>
      </c>
      <c r="J118" s="58" t="str">
        <f>IF($B117="","",IF($B117+1&gt;dropdown!$D$12,"",IF(B117&lt;dropdown!$D$13,0,IF(Aflossingsmethode="Lineair",Aflossingsbedrag,IF(Aflossingsmethode="Annuïteit",IFERROR(Bedrag_annuïteit-K118,0),0)))))</f>
        <v/>
      </c>
      <c r="K118" s="58" t="str">
        <f>IF($B117="","",IF($B117+1&gt;dropdown!$D$12,"",G118*I118*Rentekosten))</f>
        <v/>
      </c>
      <c r="L118" s="58" t="str">
        <f t="shared" si="15"/>
        <v/>
      </c>
      <c r="M118" s="58" t="str">
        <f t="shared" si="9"/>
        <v/>
      </c>
      <c r="N118" s="57"/>
      <c r="O118" s="60" t="str">
        <f t="shared" si="10"/>
        <v/>
      </c>
      <c r="P118" s="60" t="str">
        <f t="shared" si="11"/>
        <v/>
      </c>
      <c r="Q118" s="60" t="str">
        <f t="shared" si="16"/>
        <v/>
      </c>
      <c r="R118" s="57"/>
      <c r="S118" s="58" t="str">
        <f t="shared" si="12"/>
        <v/>
      </c>
      <c r="T118" s="58" t="str">
        <f t="shared" si="13"/>
        <v/>
      </c>
      <c r="U118" s="61" t="str">
        <f t="shared" si="17"/>
        <v/>
      </c>
      <c r="V118" s="58" t="str">
        <f t="shared" si="14"/>
        <v/>
      </c>
      <c r="W118" s="57"/>
    </row>
    <row r="119" spans="1:23" s="59" customFormat="1" x14ac:dyDescent="0.25">
      <c r="A119" s="53"/>
      <c r="B119" s="54" t="str">
        <f>IF($B118="","",IF($B118+1&gt;dropdown!$D$12,"",Schema!B118+1))</f>
        <v/>
      </c>
      <c r="C119" s="55" t="str">
        <f>IF($B118="","",IF($B118+1&gt;dropdown!$D$12,"",EOMONTH(C118,0)+1))</f>
        <v/>
      </c>
      <c r="D119" s="53"/>
      <c r="E119" s="55" t="str">
        <f>IF($B118="","",IF($B118+1&gt;dropdown!$D$12,"",F118+1))</f>
        <v/>
      </c>
      <c r="F119" s="55" t="str">
        <f>IF($B118="","",IF($B118+1&gt;dropdown!$D$12,"",EOMONTH(E119,0)))</f>
        <v/>
      </c>
      <c r="G119" s="56" t="str">
        <f>IF($B118="","",IF($B118+1&gt;dropdown!$D$12,"",(_xlfn.DAYS(F119,E119)+1)/DAY(F119)))</f>
        <v/>
      </c>
      <c r="H119" s="57"/>
      <c r="I119" s="58" t="str">
        <f>IF($B118="","",IF($B118+1&gt;dropdown!$D$12,"",I118-J118))</f>
        <v/>
      </c>
      <c r="J119" s="58" t="str">
        <f>IF($B118="","",IF($B118+1&gt;dropdown!$D$12,"",IF(B118&lt;dropdown!$D$13,0,IF(Aflossingsmethode="Lineair",Aflossingsbedrag,IF(Aflossingsmethode="Annuïteit",IFERROR(Bedrag_annuïteit-K119,0),0)))))</f>
        <v/>
      </c>
      <c r="K119" s="58" t="str">
        <f>IF($B118="","",IF($B118+1&gt;dropdown!$D$12,"",G119*I119*Rentekosten))</f>
        <v/>
      </c>
      <c r="L119" s="58" t="str">
        <f t="shared" si="15"/>
        <v/>
      </c>
      <c r="M119" s="58" t="str">
        <f t="shared" si="9"/>
        <v/>
      </c>
      <c r="N119" s="57"/>
      <c r="O119" s="60" t="str">
        <f t="shared" si="10"/>
        <v/>
      </c>
      <c r="P119" s="60" t="str">
        <f t="shared" si="11"/>
        <v/>
      </c>
      <c r="Q119" s="60" t="str">
        <f t="shared" si="16"/>
        <v/>
      </c>
      <c r="R119" s="57"/>
      <c r="S119" s="58" t="str">
        <f t="shared" si="12"/>
        <v/>
      </c>
      <c r="T119" s="58" t="str">
        <f t="shared" si="13"/>
        <v/>
      </c>
      <c r="U119" s="61" t="str">
        <f t="shared" si="17"/>
        <v/>
      </c>
      <c r="V119" s="58" t="str">
        <f t="shared" si="14"/>
        <v/>
      </c>
      <c r="W119" s="57"/>
    </row>
    <row r="120" spans="1:23" s="59" customFormat="1" x14ac:dyDescent="0.25">
      <c r="A120" s="53"/>
      <c r="B120" s="54" t="str">
        <f>IF($B119="","",IF($B119+1&gt;dropdown!$D$12,"",Schema!B119+1))</f>
        <v/>
      </c>
      <c r="C120" s="55" t="str">
        <f>IF($B119="","",IF($B119+1&gt;dropdown!$D$12,"",EOMONTH(C119,0)+1))</f>
        <v/>
      </c>
      <c r="D120" s="53"/>
      <c r="E120" s="55" t="str">
        <f>IF($B119="","",IF($B119+1&gt;dropdown!$D$12,"",F119+1))</f>
        <v/>
      </c>
      <c r="F120" s="55" t="str">
        <f>IF($B119="","",IF($B119+1&gt;dropdown!$D$12,"",EOMONTH(E120,0)))</f>
        <v/>
      </c>
      <c r="G120" s="56" t="str">
        <f>IF($B119="","",IF($B119+1&gt;dropdown!$D$12,"",(_xlfn.DAYS(F120,E120)+1)/DAY(F120)))</f>
        <v/>
      </c>
      <c r="H120" s="57"/>
      <c r="I120" s="58" t="str">
        <f>IF($B119="","",IF($B119+1&gt;dropdown!$D$12,"",I119-J119))</f>
        <v/>
      </c>
      <c r="J120" s="58" t="str">
        <f>IF($B119="","",IF($B119+1&gt;dropdown!$D$12,"",IF(B119&lt;dropdown!$D$13,0,IF(Aflossingsmethode="Lineair",Aflossingsbedrag,IF(Aflossingsmethode="Annuïteit",IFERROR(Bedrag_annuïteit-K120,0),0)))))</f>
        <v/>
      </c>
      <c r="K120" s="58" t="str">
        <f>IF($B119="","",IF($B119+1&gt;dropdown!$D$12,"",G120*I120*Rentekosten))</f>
        <v/>
      </c>
      <c r="L120" s="58" t="str">
        <f t="shared" si="15"/>
        <v/>
      </c>
      <c r="M120" s="58" t="str">
        <f t="shared" si="9"/>
        <v/>
      </c>
      <c r="N120" s="57"/>
      <c r="O120" s="60" t="str">
        <f t="shared" si="10"/>
        <v/>
      </c>
      <c r="P120" s="60" t="str">
        <f t="shared" si="11"/>
        <v/>
      </c>
      <c r="Q120" s="60" t="str">
        <f t="shared" si="16"/>
        <v/>
      </c>
      <c r="R120" s="57"/>
      <c r="S120" s="58" t="str">
        <f t="shared" si="12"/>
        <v/>
      </c>
      <c r="T120" s="58" t="str">
        <f t="shared" si="13"/>
        <v/>
      </c>
      <c r="U120" s="61" t="str">
        <f t="shared" si="17"/>
        <v/>
      </c>
      <c r="V120" s="58" t="str">
        <f t="shared" si="14"/>
        <v/>
      </c>
      <c r="W120" s="57"/>
    </row>
    <row r="121" spans="1:23" s="59" customFormat="1" x14ac:dyDescent="0.25">
      <c r="A121" s="53"/>
      <c r="B121" s="54" t="str">
        <f>IF($B120="","",IF($B120+1&gt;dropdown!$D$12,"",Schema!B120+1))</f>
        <v/>
      </c>
      <c r="C121" s="55" t="str">
        <f>IF($B120="","",IF($B120+1&gt;dropdown!$D$12,"",EOMONTH(C120,0)+1))</f>
        <v/>
      </c>
      <c r="D121" s="53"/>
      <c r="E121" s="55" t="str">
        <f>IF($B120="","",IF($B120+1&gt;dropdown!$D$12,"",F120+1))</f>
        <v/>
      </c>
      <c r="F121" s="55" t="str">
        <f>IF($B120="","",IF($B120+1&gt;dropdown!$D$12,"",EOMONTH(E121,0)))</f>
        <v/>
      </c>
      <c r="G121" s="56" t="str">
        <f>IF($B120="","",IF($B120+1&gt;dropdown!$D$12,"",(_xlfn.DAYS(F121,E121)+1)/DAY(F121)))</f>
        <v/>
      </c>
      <c r="H121" s="57"/>
      <c r="I121" s="58" t="str">
        <f>IF($B120="","",IF($B120+1&gt;dropdown!$D$12,"",I120-J120))</f>
        <v/>
      </c>
      <c r="J121" s="58" t="str">
        <f>IF($B120="","",IF($B120+1&gt;dropdown!$D$12,"",IF(B120&lt;dropdown!$D$13,0,IF(Aflossingsmethode="Lineair",Aflossingsbedrag,IF(Aflossingsmethode="Annuïteit",IFERROR(Bedrag_annuïteit-K121,0),0)))))</f>
        <v/>
      </c>
      <c r="K121" s="58" t="str">
        <f>IF($B120="","",IF($B120+1&gt;dropdown!$D$12,"",G121*I121*Rentekosten))</f>
        <v/>
      </c>
      <c r="L121" s="58" t="str">
        <f t="shared" si="15"/>
        <v/>
      </c>
      <c r="M121" s="58" t="str">
        <f t="shared" si="9"/>
        <v/>
      </c>
      <c r="N121" s="57"/>
      <c r="O121" s="60" t="str">
        <f t="shared" si="10"/>
        <v/>
      </c>
      <c r="P121" s="60" t="str">
        <f t="shared" si="11"/>
        <v/>
      </c>
      <c r="Q121" s="60" t="str">
        <f t="shared" si="16"/>
        <v/>
      </c>
      <c r="R121" s="57"/>
      <c r="S121" s="58" t="str">
        <f t="shared" si="12"/>
        <v/>
      </c>
      <c r="T121" s="58" t="str">
        <f t="shared" si="13"/>
        <v/>
      </c>
      <c r="U121" s="61" t="str">
        <f t="shared" si="17"/>
        <v/>
      </c>
      <c r="V121" s="58" t="str">
        <f t="shared" si="14"/>
        <v/>
      </c>
      <c r="W121" s="57"/>
    </row>
    <row r="122" spans="1:23" s="59" customFormat="1" x14ac:dyDescent="0.25">
      <c r="A122" s="53"/>
      <c r="B122" s="54" t="str">
        <f>IF($B121="","",IF($B121+1&gt;dropdown!$D$12,"",Schema!B121+1))</f>
        <v/>
      </c>
      <c r="C122" s="55" t="str">
        <f>IF($B121="","",IF($B121+1&gt;dropdown!$D$12,"",EOMONTH(C121,0)+1))</f>
        <v/>
      </c>
      <c r="D122" s="53"/>
      <c r="E122" s="55" t="str">
        <f>IF($B121="","",IF($B121+1&gt;dropdown!$D$12,"",F121+1))</f>
        <v/>
      </c>
      <c r="F122" s="55" t="str">
        <f>IF($B121="","",IF($B121+1&gt;dropdown!$D$12,"",EOMONTH(E122,0)))</f>
        <v/>
      </c>
      <c r="G122" s="56" t="str">
        <f>IF($B121="","",IF($B121+1&gt;dropdown!$D$12,"",(_xlfn.DAYS(F122,E122)+1)/DAY(F122)))</f>
        <v/>
      </c>
      <c r="H122" s="57"/>
      <c r="I122" s="58" t="str">
        <f>IF($B121="","",IF($B121+1&gt;dropdown!$D$12,"",I121-J121))</f>
        <v/>
      </c>
      <c r="J122" s="58" t="str">
        <f>IF($B121="","",IF($B121+1&gt;dropdown!$D$12,"",IF(B121&lt;dropdown!$D$13,0,IF(Aflossingsmethode="Lineair",Aflossingsbedrag,IF(Aflossingsmethode="Annuïteit",IFERROR(Bedrag_annuïteit-K122,0),0)))))</f>
        <v/>
      </c>
      <c r="K122" s="58" t="str">
        <f>IF($B121="","",IF($B121+1&gt;dropdown!$D$12,"",G122*I122*Rentekosten))</f>
        <v/>
      </c>
      <c r="L122" s="58" t="str">
        <f t="shared" si="15"/>
        <v/>
      </c>
      <c r="M122" s="58" t="str">
        <f t="shared" si="9"/>
        <v/>
      </c>
      <c r="N122" s="57"/>
      <c r="O122" s="60" t="str">
        <f t="shared" si="10"/>
        <v/>
      </c>
      <c r="P122" s="60" t="str">
        <f t="shared" si="11"/>
        <v/>
      </c>
      <c r="Q122" s="60" t="str">
        <f t="shared" si="16"/>
        <v/>
      </c>
      <c r="R122" s="57"/>
      <c r="S122" s="58" t="str">
        <f t="shared" si="12"/>
        <v/>
      </c>
      <c r="T122" s="58" t="str">
        <f t="shared" si="13"/>
        <v/>
      </c>
      <c r="U122" s="61" t="str">
        <f t="shared" si="17"/>
        <v/>
      </c>
      <c r="V122" s="58" t="str">
        <f t="shared" si="14"/>
        <v/>
      </c>
      <c r="W122" s="57"/>
    </row>
    <row r="123" spans="1:23" s="59" customFormat="1" x14ac:dyDescent="0.25">
      <c r="A123" s="53"/>
      <c r="B123" s="54" t="str">
        <f>IF($B122="","",IF($B122+1&gt;dropdown!$D$12,"",Schema!B122+1))</f>
        <v/>
      </c>
      <c r="C123" s="55" t="str">
        <f>IF($B122="","",IF($B122+1&gt;dropdown!$D$12,"",EOMONTH(C122,0)+1))</f>
        <v/>
      </c>
      <c r="D123" s="53"/>
      <c r="E123" s="55" t="str">
        <f>IF($B122="","",IF($B122+1&gt;dropdown!$D$12,"",F122+1))</f>
        <v/>
      </c>
      <c r="F123" s="55" t="str">
        <f>IF($B122="","",IF($B122+1&gt;dropdown!$D$12,"",EOMONTH(E123,0)))</f>
        <v/>
      </c>
      <c r="G123" s="56" t="str">
        <f>IF($B122="","",IF($B122+1&gt;dropdown!$D$12,"",(_xlfn.DAYS(F123,E123)+1)/DAY(F123)))</f>
        <v/>
      </c>
      <c r="H123" s="57"/>
      <c r="I123" s="58" t="str">
        <f>IF($B122="","",IF($B122+1&gt;dropdown!$D$12,"",I122-J122))</f>
        <v/>
      </c>
      <c r="J123" s="58" t="str">
        <f>IF($B122="","",IF($B122+1&gt;dropdown!$D$12,"",IF(B122&lt;dropdown!$D$13,0,IF(Aflossingsmethode="Lineair",Aflossingsbedrag,IF(Aflossingsmethode="Annuïteit",IFERROR(Bedrag_annuïteit-K123,0),0)))))</f>
        <v/>
      </c>
      <c r="K123" s="58" t="str">
        <f>IF($B122="","",IF($B122+1&gt;dropdown!$D$12,"",G123*I123*Rentekosten))</f>
        <v/>
      </c>
      <c r="L123" s="58" t="str">
        <f t="shared" si="15"/>
        <v/>
      </c>
      <c r="M123" s="58" t="str">
        <f t="shared" si="9"/>
        <v/>
      </c>
      <c r="N123" s="57"/>
      <c r="O123" s="60" t="str">
        <f t="shared" si="10"/>
        <v/>
      </c>
      <c r="P123" s="60" t="str">
        <f t="shared" si="11"/>
        <v/>
      </c>
      <c r="Q123" s="60" t="str">
        <f t="shared" si="16"/>
        <v/>
      </c>
      <c r="R123" s="57"/>
      <c r="S123" s="58" t="str">
        <f t="shared" si="12"/>
        <v/>
      </c>
      <c r="T123" s="58" t="str">
        <f t="shared" si="13"/>
        <v/>
      </c>
      <c r="U123" s="61" t="str">
        <f t="shared" si="17"/>
        <v/>
      </c>
      <c r="V123" s="58" t="str">
        <f t="shared" si="14"/>
        <v/>
      </c>
      <c r="W123" s="57"/>
    </row>
    <row r="124" spans="1:23" s="59" customFormat="1" x14ac:dyDescent="0.25">
      <c r="A124" s="53"/>
      <c r="B124" s="54" t="str">
        <f>IF($B123="","",IF($B123+1&gt;dropdown!$D$12,"",Schema!B123+1))</f>
        <v/>
      </c>
      <c r="C124" s="55" t="str">
        <f>IF($B123="","",IF($B123+1&gt;dropdown!$D$12,"",EOMONTH(C123,0)+1))</f>
        <v/>
      </c>
      <c r="D124" s="53"/>
      <c r="E124" s="55" t="str">
        <f>IF($B123="","",IF($B123+1&gt;dropdown!$D$12,"",F123+1))</f>
        <v/>
      </c>
      <c r="F124" s="55" t="str">
        <f>IF($B123="","",IF($B123+1&gt;dropdown!$D$12,"",EOMONTH(E124,0)))</f>
        <v/>
      </c>
      <c r="G124" s="56" t="str">
        <f>IF($B123="","",IF($B123+1&gt;dropdown!$D$12,"",(_xlfn.DAYS(F124,E124)+1)/DAY(F124)))</f>
        <v/>
      </c>
      <c r="H124" s="57"/>
      <c r="I124" s="58" t="str">
        <f>IF($B123="","",IF($B123+1&gt;dropdown!$D$12,"",I123-J123))</f>
        <v/>
      </c>
      <c r="J124" s="58" t="str">
        <f>IF($B123="","",IF($B123+1&gt;dropdown!$D$12,"",IF(B123&lt;dropdown!$D$13,0,IF(Aflossingsmethode="Lineair",Aflossingsbedrag,IF(Aflossingsmethode="Annuïteit",IFERROR(Bedrag_annuïteit-K124,0),0)))))</f>
        <v/>
      </c>
      <c r="K124" s="58" t="str">
        <f>IF($B123="","",IF($B123+1&gt;dropdown!$D$12,"",G124*I124*Rentekosten))</f>
        <v/>
      </c>
      <c r="L124" s="58" t="str">
        <f t="shared" si="15"/>
        <v/>
      </c>
      <c r="M124" s="58" t="str">
        <f t="shared" si="9"/>
        <v/>
      </c>
      <c r="N124" s="57"/>
      <c r="O124" s="60" t="str">
        <f t="shared" si="10"/>
        <v/>
      </c>
      <c r="P124" s="60" t="str">
        <f t="shared" si="11"/>
        <v/>
      </c>
      <c r="Q124" s="60" t="str">
        <f t="shared" si="16"/>
        <v/>
      </c>
      <c r="R124" s="57"/>
      <c r="S124" s="58" t="str">
        <f t="shared" si="12"/>
        <v/>
      </c>
      <c r="T124" s="58" t="str">
        <f t="shared" si="13"/>
        <v/>
      </c>
      <c r="U124" s="61" t="str">
        <f t="shared" si="17"/>
        <v/>
      </c>
      <c r="V124" s="58" t="str">
        <f t="shared" si="14"/>
        <v/>
      </c>
      <c r="W124" s="57"/>
    </row>
    <row r="125" spans="1:23" s="59" customFormat="1" x14ac:dyDescent="0.25">
      <c r="A125" s="53"/>
      <c r="B125" s="54" t="str">
        <f>IF($B124="","",IF($B124+1&gt;dropdown!$D$12,"",Schema!B124+1))</f>
        <v/>
      </c>
      <c r="C125" s="55" t="str">
        <f>IF($B124="","",IF($B124+1&gt;dropdown!$D$12,"",EOMONTH(C124,0)+1))</f>
        <v/>
      </c>
      <c r="D125" s="53"/>
      <c r="E125" s="55" t="str">
        <f>IF($B124="","",IF($B124+1&gt;dropdown!$D$12,"",F124+1))</f>
        <v/>
      </c>
      <c r="F125" s="55" t="str">
        <f>IF($B124="","",IF($B124+1&gt;dropdown!$D$12,"",EOMONTH(E125,0)))</f>
        <v/>
      </c>
      <c r="G125" s="56" t="str">
        <f>IF($B124="","",IF($B124+1&gt;dropdown!$D$12,"",(_xlfn.DAYS(F125,E125)+1)/DAY(F125)))</f>
        <v/>
      </c>
      <c r="H125" s="57"/>
      <c r="I125" s="58" t="str">
        <f>IF($B124="","",IF($B124+1&gt;dropdown!$D$12,"",I124-J124))</f>
        <v/>
      </c>
      <c r="J125" s="58" t="str">
        <f>IF($B124="","",IF($B124+1&gt;dropdown!$D$12,"",IF(B124&lt;dropdown!$D$13,0,IF(Aflossingsmethode="Lineair",Aflossingsbedrag,IF(Aflossingsmethode="Annuïteit",IFERROR(Bedrag_annuïteit-K125,0),0)))))</f>
        <v/>
      </c>
      <c r="K125" s="58" t="str">
        <f>IF($B124="","",IF($B124+1&gt;dropdown!$D$12,"",G125*I125*Rentekosten))</f>
        <v/>
      </c>
      <c r="L125" s="58" t="str">
        <f t="shared" si="15"/>
        <v/>
      </c>
      <c r="M125" s="58" t="str">
        <f t="shared" si="9"/>
        <v/>
      </c>
      <c r="N125" s="57"/>
      <c r="O125" s="60" t="str">
        <f t="shared" si="10"/>
        <v/>
      </c>
      <c r="P125" s="60" t="str">
        <f t="shared" si="11"/>
        <v/>
      </c>
      <c r="Q125" s="60" t="str">
        <f t="shared" si="16"/>
        <v/>
      </c>
      <c r="R125" s="57"/>
      <c r="S125" s="58" t="str">
        <f t="shared" si="12"/>
        <v/>
      </c>
      <c r="T125" s="58" t="str">
        <f t="shared" si="13"/>
        <v/>
      </c>
      <c r="U125" s="61" t="str">
        <f t="shared" si="17"/>
        <v/>
      </c>
      <c r="V125" s="58" t="str">
        <f t="shared" si="14"/>
        <v/>
      </c>
      <c r="W125" s="57"/>
    </row>
    <row r="126" spans="1:23" s="59" customFormat="1" x14ac:dyDescent="0.25">
      <c r="A126" s="53"/>
      <c r="B126" s="54" t="str">
        <f>IF($B125="","",IF($B125+1&gt;dropdown!$D$12,"",Schema!B125+1))</f>
        <v/>
      </c>
      <c r="C126" s="55" t="str">
        <f>IF($B125="","",IF($B125+1&gt;dropdown!$D$12,"",EOMONTH(C125,0)+1))</f>
        <v/>
      </c>
      <c r="D126" s="53"/>
      <c r="E126" s="55" t="str">
        <f>IF($B125="","",IF($B125+1&gt;dropdown!$D$12,"",F125+1))</f>
        <v/>
      </c>
      <c r="F126" s="55" t="str">
        <f>IF($B125="","",IF($B125+1&gt;dropdown!$D$12,"",EOMONTH(E126,0)))</f>
        <v/>
      </c>
      <c r="G126" s="56" t="str">
        <f>IF($B125="","",IF($B125+1&gt;dropdown!$D$12,"",(_xlfn.DAYS(F126,E126)+1)/DAY(F126)))</f>
        <v/>
      </c>
      <c r="H126" s="57"/>
      <c r="I126" s="58" t="str">
        <f>IF($B125="","",IF($B125+1&gt;dropdown!$D$12,"",I125-J125))</f>
        <v/>
      </c>
      <c r="J126" s="58" t="str">
        <f>IF($B125="","",IF($B125+1&gt;dropdown!$D$12,"",IF(B125&lt;dropdown!$D$13,0,IF(Aflossingsmethode="Lineair",Aflossingsbedrag,IF(Aflossingsmethode="Annuïteit",IFERROR(Bedrag_annuïteit-K126,0),0)))))</f>
        <v/>
      </c>
      <c r="K126" s="58" t="str">
        <f>IF($B125="","",IF($B125+1&gt;dropdown!$D$12,"",G126*I126*Rentekosten))</f>
        <v/>
      </c>
      <c r="L126" s="58" t="str">
        <f t="shared" si="15"/>
        <v/>
      </c>
      <c r="M126" s="58" t="str">
        <f t="shared" si="9"/>
        <v/>
      </c>
      <c r="N126" s="57"/>
      <c r="O126" s="60" t="str">
        <f t="shared" si="10"/>
        <v/>
      </c>
      <c r="P126" s="60" t="str">
        <f t="shared" si="11"/>
        <v/>
      </c>
      <c r="Q126" s="60" t="str">
        <f t="shared" si="16"/>
        <v/>
      </c>
      <c r="R126" s="57"/>
      <c r="S126" s="58" t="str">
        <f t="shared" si="12"/>
        <v/>
      </c>
      <c r="T126" s="58" t="str">
        <f t="shared" si="13"/>
        <v/>
      </c>
      <c r="U126" s="61" t="str">
        <f t="shared" si="17"/>
        <v/>
      </c>
      <c r="V126" s="58" t="str">
        <f t="shared" si="14"/>
        <v/>
      </c>
      <c r="W126" s="57"/>
    </row>
    <row r="127" spans="1:23" s="59" customFormat="1" x14ac:dyDescent="0.25">
      <c r="A127" s="53"/>
      <c r="B127" s="54" t="str">
        <f>IF($B126="","",IF($B126+1&gt;dropdown!$D$12,"",Schema!B126+1))</f>
        <v/>
      </c>
      <c r="C127" s="55" t="str">
        <f>IF($B126="","",IF($B126+1&gt;dropdown!$D$12,"",EOMONTH(C126,0)+1))</f>
        <v/>
      </c>
      <c r="D127" s="53"/>
      <c r="E127" s="55" t="str">
        <f>IF($B126="","",IF($B126+1&gt;dropdown!$D$12,"",F126+1))</f>
        <v/>
      </c>
      <c r="F127" s="55" t="str">
        <f>IF($B126="","",IF($B126+1&gt;dropdown!$D$12,"",EOMONTH(E127,0)))</f>
        <v/>
      </c>
      <c r="G127" s="56" t="str">
        <f>IF($B126="","",IF($B126+1&gt;dropdown!$D$12,"",(_xlfn.DAYS(F127,E127)+1)/DAY(F127)))</f>
        <v/>
      </c>
      <c r="H127" s="57"/>
      <c r="I127" s="58" t="str">
        <f>IF($B126="","",IF($B126+1&gt;dropdown!$D$12,"",I126-J126))</f>
        <v/>
      </c>
      <c r="J127" s="58" t="str">
        <f>IF($B126="","",IF($B126+1&gt;dropdown!$D$12,"",IF(B126&lt;dropdown!$D$13,0,IF(Aflossingsmethode="Lineair",Aflossingsbedrag,IF(Aflossingsmethode="Annuïteit",IFERROR(Bedrag_annuïteit-K127,0),0)))))</f>
        <v/>
      </c>
      <c r="K127" s="58" t="str">
        <f>IF($B126="","",IF($B126+1&gt;dropdown!$D$12,"",G127*I127*Rentekosten))</f>
        <v/>
      </c>
      <c r="L127" s="58" t="str">
        <f t="shared" si="15"/>
        <v/>
      </c>
      <c r="M127" s="58" t="str">
        <f t="shared" si="9"/>
        <v/>
      </c>
      <c r="N127" s="57"/>
      <c r="O127" s="60" t="str">
        <f t="shared" si="10"/>
        <v/>
      </c>
      <c r="P127" s="60" t="str">
        <f t="shared" si="11"/>
        <v/>
      </c>
      <c r="Q127" s="60" t="str">
        <f t="shared" si="16"/>
        <v/>
      </c>
      <c r="R127" s="57"/>
      <c r="S127" s="58" t="str">
        <f t="shared" si="12"/>
        <v/>
      </c>
      <c r="T127" s="58" t="str">
        <f t="shared" si="13"/>
        <v/>
      </c>
      <c r="U127" s="61" t="str">
        <f t="shared" si="17"/>
        <v/>
      </c>
      <c r="V127" s="58" t="str">
        <f t="shared" si="14"/>
        <v/>
      </c>
      <c r="W127" s="57"/>
    </row>
    <row r="128" spans="1:23" s="59" customFormat="1" x14ac:dyDescent="0.25">
      <c r="A128" s="53"/>
      <c r="B128" s="54" t="str">
        <f>IF($B127="","",IF($B127+1&gt;dropdown!$D$12,"",Schema!B127+1))</f>
        <v/>
      </c>
      <c r="C128" s="55" t="str">
        <f>IF($B127="","",IF($B127+1&gt;dropdown!$D$12,"",EOMONTH(C127,0)+1))</f>
        <v/>
      </c>
      <c r="D128" s="53"/>
      <c r="E128" s="55" t="str">
        <f>IF($B127="","",IF($B127+1&gt;dropdown!$D$12,"",F127+1))</f>
        <v/>
      </c>
      <c r="F128" s="55" t="str">
        <f>IF($B127="","",IF($B127+1&gt;dropdown!$D$12,"",EOMONTH(E128,0)))</f>
        <v/>
      </c>
      <c r="G128" s="56" t="str">
        <f>IF($B127="","",IF($B127+1&gt;dropdown!$D$12,"",(_xlfn.DAYS(F128,E128)+1)/DAY(F128)))</f>
        <v/>
      </c>
      <c r="H128" s="57"/>
      <c r="I128" s="58" t="str">
        <f>IF($B127="","",IF($B127+1&gt;dropdown!$D$12,"",I127-J127))</f>
        <v/>
      </c>
      <c r="J128" s="58" t="str">
        <f>IF($B127="","",IF($B127+1&gt;dropdown!$D$12,"",IF(B127&lt;dropdown!$D$13,0,IF(Aflossingsmethode="Lineair",Aflossingsbedrag,IF(Aflossingsmethode="Annuïteit",IFERROR(Bedrag_annuïteit-K128,0),0)))))</f>
        <v/>
      </c>
      <c r="K128" s="58" t="str">
        <f>IF($B127="","",IF($B127+1&gt;dropdown!$D$12,"",G128*I128*Rentekosten))</f>
        <v/>
      </c>
      <c r="L128" s="58" t="str">
        <f t="shared" si="15"/>
        <v/>
      </c>
      <c r="M128" s="58" t="str">
        <f t="shared" si="9"/>
        <v/>
      </c>
      <c r="N128" s="57"/>
      <c r="O128" s="60" t="str">
        <f t="shared" si="10"/>
        <v/>
      </c>
      <c r="P128" s="60" t="str">
        <f t="shared" si="11"/>
        <v/>
      </c>
      <c r="Q128" s="60" t="str">
        <f t="shared" si="16"/>
        <v/>
      </c>
      <c r="R128" s="57"/>
      <c r="S128" s="58" t="str">
        <f t="shared" si="12"/>
        <v/>
      </c>
      <c r="T128" s="58" t="str">
        <f t="shared" si="13"/>
        <v/>
      </c>
      <c r="U128" s="61" t="str">
        <f t="shared" si="17"/>
        <v/>
      </c>
      <c r="V128" s="58" t="str">
        <f t="shared" si="14"/>
        <v/>
      </c>
      <c r="W128" s="57"/>
    </row>
    <row r="129" spans="1:23" s="59" customFormat="1" x14ac:dyDescent="0.25">
      <c r="A129" s="53"/>
      <c r="B129" s="54" t="str">
        <f>IF($B128="","",IF($B128+1&gt;dropdown!$D$12,"",Schema!B128+1))</f>
        <v/>
      </c>
      <c r="C129" s="55" t="str">
        <f>IF($B128="","",IF($B128+1&gt;dropdown!$D$12,"",EOMONTH(C128,0)+1))</f>
        <v/>
      </c>
      <c r="D129" s="53"/>
      <c r="E129" s="55" t="str">
        <f>IF($B128="","",IF($B128+1&gt;dropdown!$D$12,"",F128+1))</f>
        <v/>
      </c>
      <c r="F129" s="55" t="str">
        <f>IF($B128="","",IF($B128+1&gt;dropdown!$D$12,"",EOMONTH(E129,0)))</f>
        <v/>
      </c>
      <c r="G129" s="56" t="str">
        <f>IF($B128="","",IF($B128+1&gt;dropdown!$D$12,"",(_xlfn.DAYS(F129,E129)+1)/DAY(F129)))</f>
        <v/>
      </c>
      <c r="H129" s="57"/>
      <c r="I129" s="58" t="str">
        <f>IF($B128="","",IF($B128+1&gt;dropdown!$D$12,"",I128-J128))</f>
        <v/>
      </c>
      <c r="J129" s="58" t="str">
        <f>IF($B128="","",IF($B128+1&gt;dropdown!$D$12,"",IF(B128&lt;dropdown!$D$13,0,IF(Aflossingsmethode="Lineair",Aflossingsbedrag,IF(Aflossingsmethode="Annuïteit",IFERROR(Bedrag_annuïteit-K129,0),0)))))</f>
        <v/>
      </c>
      <c r="K129" s="58" t="str">
        <f>IF($B128="","",IF($B128+1&gt;dropdown!$D$12,"",G129*I129*Rentekosten))</f>
        <v/>
      </c>
      <c r="L129" s="58" t="str">
        <f t="shared" si="15"/>
        <v/>
      </c>
      <c r="M129" s="58" t="str">
        <f t="shared" si="9"/>
        <v/>
      </c>
      <c r="N129" s="57"/>
      <c r="O129" s="60" t="str">
        <f t="shared" si="10"/>
        <v/>
      </c>
      <c r="P129" s="60" t="str">
        <f t="shared" si="11"/>
        <v/>
      </c>
      <c r="Q129" s="60" t="str">
        <f t="shared" si="16"/>
        <v/>
      </c>
      <c r="R129" s="57"/>
      <c r="S129" s="58" t="str">
        <f t="shared" si="12"/>
        <v/>
      </c>
      <c r="T129" s="58" t="str">
        <f t="shared" si="13"/>
        <v/>
      </c>
      <c r="U129" s="61" t="str">
        <f t="shared" si="17"/>
        <v/>
      </c>
      <c r="V129" s="58" t="str">
        <f t="shared" si="14"/>
        <v/>
      </c>
      <c r="W129" s="57"/>
    </row>
    <row r="130" spans="1:23" s="59" customFormat="1" x14ac:dyDescent="0.25">
      <c r="A130" s="53"/>
      <c r="B130" s="54" t="str">
        <f>IF($B129="","",IF($B129+1&gt;dropdown!$D$12,"",Schema!B129+1))</f>
        <v/>
      </c>
      <c r="C130" s="55" t="str">
        <f>IF($B129="","",IF($B129+1&gt;dropdown!$D$12,"",EOMONTH(C129,0)+1))</f>
        <v/>
      </c>
      <c r="D130" s="53"/>
      <c r="E130" s="55" t="str">
        <f>IF($B129="","",IF($B129+1&gt;dropdown!$D$12,"",F129+1))</f>
        <v/>
      </c>
      <c r="F130" s="55" t="str">
        <f>IF($B129="","",IF($B129+1&gt;dropdown!$D$12,"",EOMONTH(E130,0)))</f>
        <v/>
      </c>
      <c r="G130" s="56" t="str">
        <f>IF($B129="","",IF($B129+1&gt;dropdown!$D$12,"",(_xlfn.DAYS(F130,E130)+1)/DAY(F130)))</f>
        <v/>
      </c>
      <c r="H130" s="57"/>
      <c r="I130" s="58" t="str">
        <f>IF($B129="","",IF($B129+1&gt;dropdown!$D$12,"",I129-J129))</f>
        <v/>
      </c>
      <c r="J130" s="58" t="str">
        <f>IF($B129="","",IF($B129+1&gt;dropdown!$D$12,"",IF(B129&lt;dropdown!$D$13,0,IF(Aflossingsmethode="Lineair",Aflossingsbedrag,IF(Aflossingsmethode="Annuïteit",IFERROR(Bedrag_annuïteit-K130,0),0)))))</f>
        <v/>
      </c>
      <c r="K130" s="58" t="str">
        <f>IF($B129="","",IF($B129+1&gt;dropdown!$D$12,"",G130*I130*Rentekosten))</f>
        <v/>
      </c>
      <c r="L130" s="58" t="str">
        <f t="shared" si="15"/>
        <v/>
      </c>
      <c r="M130" s="58" t="str">
        <f t="shared" si="9"/>
        <v/>
      </c>
      <c r="N130" s="57"/>
      <c r="O130" s="60" t="str">
        <f t="shared" si="10"/>
        <v/>
      </c>
      <c r="P130" s="60" t="str">
        <f t="shared" si="11"/>
        <v/>
      </c>
      <c r="Q130" s="60" t="str">
        <f t="shared" si="16"/>
        <v/>
      </c>
      <c r="R130" s="57"/>
      <c r="S130" s="58" t="str">
        <f t="shared" si="12"/>
        <v/>
      </c>
      <c r="T130" s="58" t="str">
        <f t="shared" si="13"/>
        <v/>
      </c>
      <c r="U130" s="61" t="str">
        <f t="shared" si="17"/>
        <v/>
      </c>
      <c r="V130" s="58" t="str">
        <f t="shared" si="14"/>
        <v/>
      </c>
      <c r="W130" s="57"/>
    </row>
    <row r="131" spans="1:23" s="59" customFormat="1" x14ac:dyDescent="0.25">
      <c r="A131" s="53"/>
      <c r="B131" s="54" t="str">
        <f>IF($B130="","",IF($B130+1&gt;dropdown!$D$12,"",Schema!B130+1))</f>
        <v/>
      </c>
      <c r="C131" s="55" t="str">
        <f>IF($B130="","",IF($B130+1&gt;dropdown!$D$12,"",EOMONTH(C130,0)+1))</f>
        <v/>
      </c>
      <c r="D131" s="53"/>
      <c r="E131" s="55" t="str">
        <f>IF($B130="","",IF($B130+1&gt;dropdown!$D$12,"",F130+1))</f>
        <v/>
      </c>
      <c r="F131" s="55" t="str">
        <f>IF($B130="","",IF($B130+1&gt;dropdown!$D$12,"",EOMONTH(E131,0)))</f>
        <v/>
      </c>
      <c r="G131" s="56" t="str">
        <f>IF($B130="","",IF($B130+1&gt;dropdown!$D$12,"",(_xlfn.DAYS(F131,E131)+1)/DAY(F131)))</f>
        <v/>
      </c>
      <c r="H131" s="57"/>
      <c r="I131" s="58" t="str">
        <f>IF($B130="","",IF($B130+1&gt;dropdown!$D$12,"",I130-J130))</f>
        <v/>
      </c>
      <c r="J131" s="58" t="str">
        <f>IF($B130="","",IF($B130+1&gt;dropdown!$D$12,"",IF(B130&lt;dropdown!$D$13,0,IF(Aflossingsmethode="Lineair",Aflossingsbedrag,IF(Aflossingsmethode="Annuïteit",IFERROR(Bedrag_annuïteit-K131,0),0)))))</f>
        <v/>
      </c>
      <c r="K131" s="58" t="str">
        <f>IF($B130="","",IF($B130+1&gt;dropdown!$D$12,"",G131*I131*Rentekosten))</f>
        <v/>
      </c>
      <c r="L131" s="58" t="str">
        <f t="shared" si="15"/>
        <v/>
      </c>
      <c r="M131" s="58" t="str">
        <f t="shared" si="9"/>
        <v/>
      </c>
      <c r="N131" s="57"/>
      <c r="O131" s="60" t="str">
        <f t="shared" si="10"/>
        <v/>
      </c>
      <c r="P131" s="60" t="str">
        <f t="shared" si="11"/>
        <v/>
      </c>
      <c r="Q131" s="60" t="str">
        <f t="shared" si="16"/>
        <v/>
      </c>
      <c r="R131" s="57"/>
      <c r="S131" s="58" t="str">
        <f t="shared" si="12"/>
        <v/>
      </c>
      <c r="T131" s="58" t="str">
        <f t="shared" si="13"/>
        <v/>
      </c>
      <c r="U131" s="61" t="str">
        <f t="shared" si="17"/>
        <v/>
      </c>
      <c r="V131" s="58" t="str">
        <f t="shared" si="14"/>
        <v/>
      </c>
      <c r="W131" s="57"/>
    </row>
    <row r="132" spans="1:23" s="59" customFormat="1" x14ac:dyDescent="0.25">
      <c r="A132" s="53"/>
      <c r="B132" s="54" t="str">
        <f>IF($B131="","",IF($B131+1&gt;dropdown!$D$12,"",Schema!B131+1))</f>
        <v/>
      </c>
      <c r="C132" s="55" t="str">
        <f>IF($B131="","",IF($B131+1&gt;dropdown!$D$12,"",EOMONTH(C131,0)+1))</f>
        <v/>
      </c>
      <c r="D132" s="53"/>
      <c r="E132" s="55" t="str">
        <f>IF($B131="","",IF($B131+1&gt;dropdown!$D$12,"",F131+1))</f>
        <v/>
      </c>
      <c r="F132" s="55" t="str">
        <f>IF($B131="","",IF($B131+1&gt;dropdown!$D$12,"",EOMONTH(E132,0)))</f>
        <v/>
      </c>
      <c r="G132" s="56" t="str">
        <f>IF($B131="","",IF($B131+1&gt;dropdown!$D$12,"",(_xlfn.DAYS(F132,E132)+1)/DAY(F132)))</f>
        <v/>
      </c>
      <c r="H132" s="57"/>
      <c r="I132" s="58" t="str">
        <f>IF($B131="","",IF($B131+1&gt;dropdown!$D$12,"",I131-J131))</f>
        <v/>
      </c>
      <c r="J132" s="58" t="str">
        <f>IF($B131="","",IF($B131+1&gt;dropdown!$D$12,"",IF(B131&lt;dropdown!$D$13,0,IF(Aflossingsmethode="Lineair",Aflossingsbedrag,IF(Aflossingsmethode="Annuïteit",IFERROR(Bedrag_annuïteit-K132,0),0)))))</f>
        <v/>
      </c>
      <c r="K132" s="58" t="str">
        <f>IF($B131="","",IF($B131+1&gt;dropdown!$D$12,"",G132*I132*Rentekosten))</f>
        <v/>
      </c>
      <c r="L132" s="58" t="str">
        <f t="shared" si="15"/>
        <v/>
      </c>
      <c r="M132" s="58" t="str">
        <f t="shared" si="9"/>
        <v/>
      </c>
      <c r="N132" s="57"/>
      <c r="O132" s="60" t="str">
        <f t="shared" si="10"/>
        <v/>
      </c>
      <c r="P132" s="60" t="str">
        <f t="shared" si="11"/>
        <v/>
      </c>
      <c r="Q132" s="60" t="str">
        <f t="shared" si="16"/>
        <v/>
      </c>
      <c r="R132" s="57"/>
      <c r="S132" s="58" t="str">
        <f t="shared" si="12"/>
        <v/>
      </c>
      <c r="T132" s="58" t="str">
        <f t="shared" si="13"/>
        <v/>
      </c>
      <c r="U132" s="61" t="str">
        <f t="shared" si="17"/>
        <v/>
      </c>
      <c r="V132" s="58" t="str">
        <f t="shared" si="14"/>
        <v/>
      </c>
      <c r="W132" s="57"/>
    </row>
    <row r="133" spans="1:23" s="59" customFormat="1" x14ac:dyDescent="0.25">
      <c r="A133" s="53"/>
      <c r="B133" s="54" t="str">
        <f>IF($B132="","",IF($B132+1&gt;dropdown!$D$12,"",Schema!B132+1))</f>
        <v/>
      </c>
      <c r="C133" s="55" t="str">
        <f>IF($B132="","",IF($B132+1&gt;dropdown!$D$12,"",EOMONTH(C132,0)+1))</f>
        <v/>
      </c>
      <c r="D133" s="53"/>
      <c r="E133" s="55" t="str">
        <f>IF($B132="","",IF($B132+1&gt;dropdown!$D$12,"",F132+1))</f>
        <v/>
      </c>
      <c r="F133" s="55" t="str">
        <f>IF($B132="","",IF($B132+1&gt;dropdown!$D$12,"",EOMONTH(E133,0)))</f>
        <v/>
      </c>
      <c r="G133" s="56" t="str">
        <f>IF($B132="","",IF($B132+1&gt;dropdown!$D$12,"",(_xlfn.DAYS(F133,E133)+1)/DAY(F133)))</f>
        <v/>
      </c>
      <c r="H133" s="57"/>
      <c r="I133" s="58" t="str">
        <f>IF($B132="","",IF($B132+1&gt;dropdown!$D$12,"",I132-J132))</f>
        <v/>
      </c>
      <c r="J133" s="58" t="str">
        <f>IF($B132="","",IF($B132+1&gt;dropdown!$D$12,"",IF(B132&lt;dropdown!$D$13,0,IF(Aflossingsmethode="Lineair",Aflossingsbedrag,IF(Aflossingsmethode="Annuïteit",IFERROR(Bedrag_annuïteit-K133,0),0)))))</f>
        <v/>
      </c>
      <c r="K133" s="58" t="str">
        <f>IF($B132="","",IF($B132+1&gt;dropdown!$D$12,"",G133*I133*Rentekosten))</f>
        <v/>
      </c>
      <c r="L133" s="58" t="str">
        <f t="shared" si="15"/>
        <v/>
      </c>
      <c r="M133" s="58" t="str">
        <f t="shared" si="9"/>
        <v/>
      </c>
      <c r="N133" s="57"/>
      <c r="O133" s="60" t="str">
        <f t="shared" si="10"/>
        <v/>
      </c>
      <c r="P133" s="60" t="str">
        <f t="shared" si="11"/>
        <v/>
      </c>
      <c r="Q133" s="60" t="str">
        <f t="shared" si="16"/>
        <v/>
      </c>
      <c r="R133" s="57"/>
      <c r="S133" s="58" t="str">
        <f t="shared" si="12"/>
        <v/>
      </c>
      <c r="T133" s="58" t="str">
        <f t="shared" si="13"/>
        <v/>
      </c>
      <c r="U133" s="61" t="str">
        <f t="shared" si="17"/>
        <v/>
      </c>
      <c r="V133" s="58" t="str">
        <f t="shared" si="14"/>
        <v/>
      </c>
      <c r="W133" s="57"/>
    </row>
    <row r="134" spans="1:23" s="59" customFormat="1" x14ac:dyDescent="0.25">
      <c r="A134" s="53"/>
      <c r="B134" s="54" t="str">
        <f>IF($B133="","",IF($B133+1&gt;dropdown!$D$12,"",Schema!B133+1))</f>
        <v/>
      </c>
      <c r="C134" s="55" t="str">
        <f>IF($B133="","",IF($B133+1&gt;dropdown!$D$12,"",EOMONTH(C133,0)+1))</f>
        <v/>
      </c>
      <c r="D134" s="53"/>
      <c r="E134" s="55" t="str">
        <f>IF($B133="","",IF($B133+1&gt;dropdown!$D$12,"",F133+1))</f>
        <v/>
      </c>
      <c r="F134" s="55" t="str">
        <f>IF($B133="","",IF($B133+1&gt;dropdown!$D$12,"",EOMONTH(E134,0)))</f>
        <v/>
      </c>
      <c r="G134" s="56" t="str">
        <f>IF($B133="","",IF($B133+1&gt;dropdown!$D$12,"",(_xlfn.DAYS(F134,E134)+1)/DAY(F134)))</f>
        <v/>
      </c>
      <c r="H134" s="57"/>
      <c r="I134" s="58" t="str">
        <f>IF($B133="","",IF($B133+1&gt;dropdown!$D$12,"",I133-J133))</f>
        <v/>
      </c>
      <c r="J134" s="58" t="str">
        <f>IF($B133="","",IF($B133+1&gt;dropdown!$D$12,"",IF(B133&lt;dropdown!$D$13,0,IF(Aflossingsmethode="Lineair",Aflossingsbedrag,IF(Aflossingsmethode="Annuïteit",IFERROR(Bedrag_annuïteit-K134,0),0)))))</f>
        <v/>
      </c>
      <c r="K134" s="58" t="str">
        <f>IF($B133="","",IF($B133+1&gt;dropdown!$D$12,"",G134*I134*Rentekosten))</f>
        <v/>
      </c>
      <c r="L134" s="58" t="str">
        <f t="shared" si="15"/>
        <v/>
      </c>
      <c r="M134" s="58" t="str">
        <f t="shared" si="9"/>
        <v/>
      </c>
      <c r="N134" s="57"/>
      <c r="O134" s="60" t="str">
        <f t="shared" si="10"/>
        <v/>
      </c>
      <c r="P134" s="60" t="str">
        <f t="shared" si="11"/>
        <v/>
      </c>
      <c r="Q134" s="60" t="str">
        <f t="shared" si="16"/>
        <v/>
      </c>
      <c r="R134" s="57"/>
      <c r="S134" s="58" t="str">
        <f t="shared" si="12"/>
        <v/>
      </c>
      <c r="T134" s="58" t="str">
        <f t="shared" si="13"/>
        <v/>
      </c>
      <c r="U134" s="61" t="str">
        <f t="shared" si="17"/>
        <v/>
      </c>
      <c r="V134" s="58" t="str">
        <f t="shared" si="14"/>
        <v/>
      </c>
      <c r="W134" s="57"/>
    </row>
    <row r="135" spans="1:23" s="59" customFormat="1" x14ac:dyDescent="0.25">
      <c r="A135" s="53"/>
      <c r="B135" s="54" t="str">
        <f>IF($B134="","",IF($B134+1&gt;dropdown!$D$12,"",Schema!B134+1))</f>
        <v/>
      </c>
      <c r="C135" s="55" t="str">
        <f>IF($B134="","",IF($B134+1&gt;dropdown!$D$12,"",EOMONTH(C134,0)+1))</f>
        <v/>
      </c>
      <c r="D135" s="53"/>
      <c r="E135" s="55" t="str">
        <f>IF($B134="","",IF($B134+1&gt;dropdown!$D$12,"",F134+1))</f>
        <v/>
      </c>
      <c r="F135" s="55" t="str">
        <f>IF($B134="","",IF($B134+1&gt;dropdown!$D$12,"",EOMONTH(E135,0)))</f>
        <v/>
      </c>
      <c r="G135" s="56" t="str">
        <f>IF($B134="","",IF($B134+1&gt;dropdown!$D$12,"",(_xlfn.DAYS(F135,E135)+1)/DAY(F135)))</f>
        <v/>
      </c>
      <c r="H135" s="57"/>
      <c r="I135" s="58" t="str">
        <f>IF($B134="","",IF($B134+1&gt;dropdown!$D$12,"",I134-J134))</f>
        <v/>
      </c>
      <c r="J135" s="58" t="str">
        <f>IF($B134="","",IF($B134+1&gt;dropdown!$D$12,"",IF(B134&lt;dropdown!$D$13,0,IF(Aflossingsmethode="Lineair",Aflossingsbedrag,IF(Aflossingsmethode="Annuïteit",IFERROR(Bedrag_annuïteit-K135,0),0)))))</f>
        <v/>
      </c>
      <c r="K135" s="58" t="str">
        <f>IF($B134="","",IF($B134+1&gt;dropdown!$D$12,"",G135*I135*Rentekosten))</f>
        <v/>
      </c>
      <c r="L135" s="58" t="str">
        <f t="shared" si="15"/>
        <v/>
      </c>
      <c r="M135" s="58" t="str">
        <f t="shared" si="9"/>
        <v/>
      </c>
      <c r="N135" s="57"/>
      <c r="O135" s="60" t="str">
        <f t="shared" si="10"/>
        <v/>
      </c>
      <c r="P135" s="60" t="str">
        <f t="shared" si="11"/>
        <v/>
      </c>
      <c r="Q135" s="60" t="str">
        <f t="shared" si="16"/>
        <v/>
      </c>
      <c r="R135" s="57"/>
      <c r="S135" s="58" t="str">
        <f t="shared" si="12"/>
        <v/>
      </c>
      <c r="T135" s="58" t="str">
        <f t="shared" si="13"/>
        <v/>
      </c>
      <c r="U135" s="61" t="str">
        <f t="shared" si="17"/>
        <v/>
      </c>
      <c r="V135" s="58" t="str">
        <f t="shared" si="14"/>
        <v/>
      </c>
      <c r="W135" s="57"/>
    </row>
    <row r="136" spans="1:23" s="59" customFormat="1" x14ac:dyDescent="0.25">
      <c r="A136" s="53"/>
      <c r="B136" s="54" t="str">
        <f>IF($B135="","",IF($B135+1&gt;dropdown!$D$12,"",Schema!B135+1))</f>
        <v/>
      </c>
      <c r="C136" s="55" t="str">
        <f>IF($B135="","",IF($B135+1&gt;dropdown!$D$12,"",EOMONTH(C135,0)+1))</f>
        <v/>
      </c>
      <c r="D136" s="53"/>
      <c r="E136" s="55" t="str">
        <f>IF($B135="","",IF($B135+1&gt;dropdown!$D$12,"",F135+1))</f>
        <v/>
      </c>
      <c r="F136" s="55" t="str">
        <f>IF($B135="","",IF($B135+1&gt;dropdown!$D$12,"",EOMONTH(E136,0)))</f>
        <v/>
      </c>
      <c r="G136" s="56" t="str">
        <f>IF($B135="","",IF($B135+1&gt;dropdown!$D$12,"",(_xlfn.DAYS(F136,E136)+1)/DAY(F136)))</f>
        <v/>
      </c>
      <c r="H136" s="57"/>
      <c r="I136" s="58" t="str">
        <f>IF($B135="","",IF($B135+1&gt;dropdown!$D$12,"",I135-J135))</f>
        <v/>
      </c>
      <c r="J136" s="58" t="str">
        <f>IF($B135="","",IF($B135+1&gt;dropdown!$D$12,"",IF(B135&lt;dropdown!$D$13,0,IF(Aflossingsmethode="Lineair",Aflossingsbedrag,IF(Aflossingsmethode="Annuïteit",IFERROR(Bedrag_annuïteit-K136,0),0)))))</f>
        <v/>
      </c>
      <c r="K136" s="58" t="str">
        <f>IF($B135="","",IF($B135+1&gt;dropdown!$D$12,"",G136*I136*Rentekosten))</f>
        <v/>
      </c>
      <c r="L136" s="58" t="str">
        <f t="shared" si="15"/>
        <v/>
      </c>
      <c r="M136" s="58" t="str">
        <f t="shared" si="9"/>
        <v/>
      </c>
      <c r="N136" s="57"/>
      <c r="O136" s="60" t="str">
        <f t="shared" si="10"/>
        <v/>
      </c>
      <c r="P136" s="60" t="str">
        <f t="shared" si="11"/>
        <v/>
      </c>
      <c r="Q136" s="60" t="str">
        <f t="shared" si="16"/>
        <v/>
      </c>
      <c r="R136" s="57"/>
      <c r="S136" s="58" t="str">
        <f t="shared" si="12"/>
        <v/>
      </c>
      <c r="T136" s="58" t="str">
        <f t="shared" si="13"/>
        <v/>
      </c>
      <c r="U136" s="61" t="str">
        <f t="shared" si="17"/>
        <v/>
      </c>
      <c r="V136" s="58" t="str">
        <f t="shared" si="14"/>
        <v/>
      </c>
      <c r="W136" s="57"/>
    </row>
    <row r="137" spans="1:23" s="59" customFormat="1" x14ac:dyDescent="0.25">
      <c r="A137" s="53"/>
      <c r="B137" s="54" t="str">
        <f>IF($B136="","",IF($B136+1&gt;dropdown!$D$12,"",Schema!B136+1))</f>
        <v/>
      </c>
      <c r="C137" s="55" t="str">
        <f>IF($B136="","",IF($B136+1&gt;dropdown!$D$12,"",EOMONTH(C136,0)+1))</f>
        <v/>
      </c>
      <c r="D137" s="53"/>
      <c r="E137" s="55" t="str">
        <f>IF($B136="","",IF($B136+1&gt;dropdown!$D$12,"",F136+1))</f>
        <v/>
      </c>
      <c r="F137" s="55" t="str">
        <f>IF($B136="","",IF($B136+1&gt;dropdown!$D$12,"",EOMONTH(E137,0)))</f>
        <v/>
      </c>
      <c r="G137" s="56" t="str">
        <f>IF($B136="","",IF($B136+1&gt;dropdown!$D$12,"",(_xlfn.DAYS(F137,E137)+1)/DAY(F137)))</f>
        <v/>
      </c>
      <c r="H137" s="57"/>
      <c r="I137" s="58" t="str">
        <f>IF($B136="","",IF($B136+1&gt;dropdown!$D$12,"",I136-J136))</f>
        <v/>
      </c>
      <c r="J137" s="58" t="str">
        <f>IF($B136="","",IF($B136+1&gt;dropdown!$D$12,"",IF(B136&lt;dropdown!$D$13,0,IF(Aflossingsmethode="Lineair",Aflossingsbedrag,IF(Aflossingsmethode="Annuïteit",IFERROR(Bedrag_annuïteit-K137,0),0)))))</f>
        <v/>
      </c>
      <c r="K137" s="58" t="str">
        <f>IF($B136="","",IF($B136+1&gt;dropdown!$D$12,"",G137*I137*Rentekosten))</f>
        <v/>
      </c>
      <c r="L137" s="58" t="str">
        <f t="shared" si="15"/>
        <v/>
      </c>
      <c r="M137" s="58" t="str">
        <f t="shared" si="9"/>
        <v/>
      </c>
      <c r="N137" s="57"/>
      <c r="O137" s="60" t="str">
        <f t="shared" si="10"/>
        <v/>
      </c>
      <c r="P137" s="60" t="str">
        <f t="shared" si="11"/>
        <v/>
      </c>
      <c r="Q137" s="60" t="str">
        <f t="shared" si="16"/>
        <v/>
      </c>
      <c r="R137" s="57"/>
      <c r="S137" s="58" t="str">
        <f t="shared" si="12"/>
        <v/>
      </c>
      <c r="T137" s="58" t="str">
        <f t="shared" si="13"/>
        <v/>
      </c>
      <c r="U137" s="61" t="str">
        <f t="shared" si="17"/>
        <v/>
      </c>
      <c r="V137" s="58" t="str">
        <f t="shared" si="14"/>
        <v/>
      </c>
      <c r="W137" s="57"/>
    </row>
    <row r="138" spans="1:23" s="59" customFormat="1" x14ac:dyDescent="0.25">
      <c r="A138" s="53"/>
      <c r="B138" s="54" t="str">
        <f>IF($B137="","",IF($B137+1&gt;dropdown!$D$12,"",Schema!B137+1))</f>
        <v/>
      </c>
      <c r="C138" s="55" t="str">
        <f>IF($B137="","",IF($B137+1&gt;dropdown!$D$12,"",EOMONTH(C137,0)+1))</f>
        <v/>
      </c>
      <c r="D138" s="53"/>
      <c r="E138" s="55" t="str">
        <f>IF($B137="","",IF($B137+1&gt;dropdown!$D$12,"",F137+1))</f>
        <v/>
      </c>
      <c r="F138" s="55" t="str">
        <f>IF($B137="","",IF($B137+1&gt;dropdown!$D$12,"",EOMONTH(E138,0)))</f>
        <v/>
      </c>
      <c r="G138" s="56" t="str">
        <f>IF($B137="","",IF($B137+1&gt;dropdown!$D$12,"",(_xlfn.DAYS(F138,E138)+1)/DAY(F138)))</f>
        <v/>
      </c>
      <c r="H138" s="57"/>
      <c r="I138" s="58" t="str">
        <f>IF($B137="","",IF($B137+1&gt;dropdown!$D$12,"",I137-J137))</f>
        <v/>
      </c>
      <c r="J138" s="58" t="str">
        <f>IF($B137="","",IF($B137+1&gt;dropdown!$D$12,"",IF(B137&lt;dropdown!$D$13,0,IF(Aflossingsmethode="Lineair",Aflossingsbedrag,IF(Aflossingsmethode="Annuïteit",IFERROR(Bedrag_annuïteit-K138,0),0)))))</f>
        <v/>
      </c>
      <c r="K138" s="58" t="str">
        <f>IF($B137="","",IF($B137+1&gt;dropdown!$D$12,"",G138*I138*Rentekosten))</f>
        <v/>
      </c>
      <c r="L138" s="58" t="str">
        <f t="shared" si="15"/>
        <v/>
      </c>
      <c r="M138" s="58" t="str">
        <f t="shared" ref="M138:M201" si="18">IF(S138="","",-K138-J138)</f>
        <v/>
      </c>
      <c r="N138" s="57"/>
      <c r="O138" s="60" t="str">
        <f t="shared" ref="O138:O201" si="19">IF($B138="","",Rentekosten)</f>
        <v/>
      </c>
      <c r="P138" s="60" t="str">
        <f t="shared" ref="P138:P201" si="20">IF($B138="","",Rentekosten*(POWER(1+Rentekosten,$B138-1+1)))</f>
        <v/>
      </c>
      <c r="Q138" s="60" t="str">
        <f t="shared" si="16"/>
        <v/>
      </c>
      <c r="R138" s="57"/>
      <c r="S138" s="58" t="str">
        <f t="shared" ref="S138:S201" si="21">IF(B138="","",IF(S137-T137&lt;0,"",S137-T137))</f>
        <v/>
      </c>
      <c r="T138" s="58" t="str">
        <f t="shared" ref="T138:T201" si="22">IF(S138="","",J138/(POWER(1+Rentekosten,$B138-1+1)))</f>
        <v/>
      </c>
      <c r="U138" s="61" t="str">
        <f t="shared" si="17"/>
        <v/>
      </c>
      <c r="V138" s="58" t="str">
        <f t="shared" ref="V138:V201" si="23">IF($B138="","",K138/(POWER(1+Rentekosten,$B138-1+1)))</f>
        <v/>
      </c>
      <c r="W138" s="57"/>
    </row>
    <row r="139" spans="1:23" s="59" customFormat="1" x14ac:dyDescent="0.25">
      <c r="A139" s="53"/>
      <c r="B139" s="54" t="str">
        <f>IF($B138="","",IF($B138+1&gt;dropdown!$D$12,"",Schema!B138+1))</f>
        <v/>
      </c>
      <c r="C139" s="55" t="str">
        <f>IF($B138="","",IF($B138+1&gt;dropdown!$D$12,"",EOMONTH(C138,0)+1))</f>
        <v/>
      </c>
      <c r="D139" s="53"/>
      <c r="E139" s="55" t="str">
        <f>IF($B138="","",IF($B138+1&gt;dropdown!$D$12,"",F138+1))</f>
        <v/>
      </c>
      <c r="F139" s="55" t="str">
        <f>IF($B138="","",IF($B138+1&gt;dropdown!$D$12,"",EOMONTH(E139,0)))</f>
        <v/>
      </c>
      <c r="G139" s="56" t="str">
        <f>IF($B138="","",IF($B138+1&gt;dropdown!$D$12,"",(_xlfn.DAYS(F139,E139)+1)/DAY(F139)))</f>
        <v/>
      </c>
      <c r="H139" s="57"/>
      <c r="I139" s="58" t="str">
        <f>IF($B138="","",IF($B138+1&gt;dropdown!$D$12,"",I138-J138))</f>
        <v/>
      </c>
      <c r="J139" s="58" t="str">
        <f>IF($B138="","",IF($B138+1&gt;dropdown!$D$12,"",IF(B138&lt;dropdown!$D$13,0,IF(Aflossingsmethode="Lineair",Aflossingsbedrag,IF(Aflossingsmethode="Annuïteit",IFERROR(Bedrag_annuïteit-K139,0),0)))))</f>
        <v/>
      </c>
      <c r="K139" s="58" t="str">
        <f>IF($B138="","",IF($B138+1&gt;dropdown!$D$12,"",G139*I139*Rentekosten))</f>
        <v/>
      </c>
      <c r="L139" s="58" t="str">
        <f t="shared" ref="L139:L202" si="24">IF(S139="","",-K139-J139)</f>
        <v/>
      </c>
      <c r="M139" s="58" t="str">
        <f t="shared" si="18"/>
        <v/>
      </c>
      <c r="N139" s="57"/>
      <c r="O139" s="60" t="str">
        <f t="shared" si="19"/>
        <v/>
      </c>
      <c r="P139" s="60" t="str">
        <f t="shared" si="20"/>
        <v/>
      </c>
      <c r="Q139" s="60" t="str">
        <f t="shared" ref="Q139:Q202" si="25">IF($B139="","",IFERROR(J139/T139-1,0))</f>
        <v/>
      </c>
      <c r="R139" s="57"/>
      <c r="S139" s="58" t="str">
        <f t="shared" si="21"/>
        <v/>
      </c>
      <c r="T139" s="58" t="str">
        <f t="shared" si="22"/>
        <v/>
      </c>
      <c r="U139" s="61" t="str">
        <f t="shared" ref="U139:U202" si="26">IF(S139="","",T139+V139)</f>
        <v/>
      </c>
      <c r="V139" s="58" t="str">
        <f t="shared" si="23"/>
        <v/>
      </c>
      <c r="W139" s="57"/>
    </row>
    <row r="140" spans="1:23" s="59" customFormat="1" x14ac:dyDescent="0.25">
      <c r="A140" s="53"/>
      <c r="B140" s="54" t="str">
        <f>IF($B139="","",IF($B139+1&gt;dropdown!$D$12,"",Schema!B139+1))</f>
        <v/>
      </c>
      <c r="C140" s="55" t="str">
        <f>IF($B139="","",IF($B139+1&gt;dropdown!$D$12,"",EOMONTH(C139,0)+1))</f>
        <v/>
      </c>
      <c r="D140" s="53"/>
      <c r="E140" s="55" t="str">
        <f>IF($B139="","",IF($B139+1&gt;dropdown!$D$12,"",F139+1))</f>
        <v/>
      </c>
      <c r="F140" s="55" t="str">
        <f>IF($B139="","",IF($B139+1&gt;dropdown!$D$12,"",EOMONTH(E140,0)))</f>
        <v/>
      </c>
      <c r="G140" s="56" t="str">
        <f>IF($B139="","",IF($B139+1&gt;dropdown!$D$12,"",(_xlfn.DAYS(F140,E140)+1)/DAY(F140)))</f>
        <v/>
      </c>
      <c r="H140" s="57"/>
      <c r="I140" s="58" t="str">
        <f>IF($B139="","",IF($B139+1&gt;dropdown!$D$12,"",I139-J139))</f>
        <v/>
      </c>
      <c r="J140" s="58" t="str">
        <f>IF($B139="","",IF($B139+1&gt;dropdown!$D$12,"",IF(B139&lt;dropdown!$D$13,0,IF(Aflossingsmethode="Lineair",Aflossingsbedrag,IF(Aflossingsmethode="Annuïteit",IFERROR(Bedrag_annuïteit-K140,0),0)))))</f>
        <v/>
      </c>
      <c r="K140" s="58" t="str">
        <f>IF($B139="","",IF($B139+1&gt;dropdown!$D$12,"",G140*I140*Rentekosten))</f>
        <v/>
      </c>
      <c r="L140" s="58" t="str">
        <f t="shared" si="24"/>
        <v/>
      </c>
      <c r="M140" s="58" t="str">
        <f t="shared" si="18"/>
        <v/>
      </c>
      <c r="N140" s="57"/>
      <c r="O140" s="60" t="str">
        <f t="shared" si="19"/>
        <v/>
      </c>
      <c r="P140" s="60" t="str">
        <f t="shared" si="20"/>
        <v/>
      </c>
      <c r="Q140" s="60" t="str">
        <f t="shared" si="25"/>
        <v/>
      </c>
      <c r="R140" s="57"/>
      <c r="S140" s="58" t="str">
        <f t="shared" si="21"/>
        <v/>
      </c>
      <c r="T140" s="58" t="str">
        <f t="shared" si="22"/>
        <v/>
      </c>
      <c r="U140" s="61" t="str">
        <f t="shared" si="26"/>
        <v/>
      </c>
      <c r="V140" s="58" t="str">
        <f t="shared" si="23"/>
        <v/>
      </c>
      <c r="W140" s="57"/>
    </row>
    <row r="141" spans="1:23" s="59" customFormat="1" x14ac:dyDescent="0.25">
      <c r="A141" s="53"/>
      <c r="B141" s="54" t="str">
        <f>IF($B140="","",IF($B140+1&gt;dropdown!$D$12,"",Schema!B140+1))</f>
        <v/>
      </c>
      <c r="C141" s="55" t="str">
        <f>IF($B140="","",IF($B140+1&gt;dropdown!$D$12,"",EOMONTH(C140,0)+1))</f>
        <v/>
      </c>
      <c r="D141" s="53"/>
      <c r="E141" s="55" t="str">
        <f>IF($B140="","",IF($B140+1&gt;dropdown!$D$12,"",F140+1))</f>
        <v/>
      </c>
      <c r="F141" s="55" t="str">
        <f>IF($B140="","",IF($B140+1&gt;dropdown!$D$12,"",EOMONTH(E141,0)))</f>
        <v/>
      </c>
      <c r="G141" s="56" t="str">
        <f>IF($B140="","",IF($B140+1&gt;dropdown!$D$12,"",(_xlfn.DAYS(F141,E141)+1)/DAY(F141)))</f>
        <v/>
      </c>
      <c r="H141" s="57"/>
      <c r="I141" s="58" t="str">
        <f>IF($B140="","",IF($B140+1&gt;dropdown!$D$12,"",I140-J140))</f>
        <v/>
      </c>
      <c r="J141" s="58" t="str">
        <f>IF($B140="","",IF($B140+1&gt;dropdown!$D$12,"",IF(B140&lt;dropdown!$D$13,0,IF(Aflossingsmethode="Lineair",Aflossingsbedrag,IF(Aflossingsmethode="Annuïteit",IFERROR(Bedrag_annuïteit-K141,0),0)))))</f>
        <v/>
      </c>
      <c r="K141" s="58" t="str">
        <f>IF($B140="","",IF($B140+1&gt;dropdown!$D$12,"",G141*I141*Rentekosten))</f>
        <v/>
      </c>
      <c r="L141" s="58" t="str">
        <f t="shared" si="24"/>
        <v/>
      </c>
      <c r="M141" s="58" t="str">
        <f t="shared" si="18"/>
        <v/>
      </c>
      <c r="N141" s="57"/>
      <c r="O141" s="60" t="str">
        <f t="shared" si="19"/>
        <v/>
      </c>
      <c r="P141" s="60" t="str">
        <f t="shared" si="20"/>
        <v/>
      </c>
      <c r="Q141" s="60" t="str">
        <f t="shared" si="25"/>
        <v/>
      </c>
      <c r="R141" s="57"/>
      <c r="S141" s="58" t="str">
        <f t="shared" si="21"/>
        <v/>
      </c>
      <c r="T141" s="58" t="str">
        <f t="shared" si="22"/>
        <v/>
      </c>
      <c r="U141" s="61" t="str">
        <f t="shared" si="26"/>
        <v/>
      </c>
      <c r="V141" s="58" t="str">
        <f t="shared" si="23"/>
        <v/>
      </c>
      <c r="W141" s="57"/>
    </row>
    <row r="142" spans="1:23" s="59" customFormat="1" x14ac:dyDescent="0.25">
      <c r="A142" s="53"/>
      <c r="B142" s="54" t="str">
        <f>IF($B141="","",IF($B141+1&gt;dropdown!$D$12,"",Schema!B141+1))</f>
        <v/>
      </c>
      <c r="C142" s="55" t="str">
        <f>IF($B141="","",IF($B141+1&gt;dropdown!$D$12,"",EOMONTH(C141,0)+1))</f>
        <v/>
      </c>
      <c r="D142" s="53"/>
      <c r="E142" s="55" t="str">
        <f>IF($B141="","",IF($B141+1&gt;dropdown!$D$12,"",F141+1))</f>
        <v/>
      </c>
      <c r="F142" s="55" t="str">
        <f>IF($B141="","",IF($B141+1&gt;dropdown!$D$12,"",EOMONTH(E142,0)))</f>
        <v/>
      </c>
      <c r="G142" s="56" t="str">
        <f>IF($B141="","",IF($B141+1&gt;dropdown!$D$12,"",(_xlfn.DAYS(F142,E142)+1)/DAY(F142)))</f>
        <v/>
      </c>
      <c r="H142" s="57"/>
      <c r="I142" s="58" t="str">
        <f>IF($B141="","",IF($B141+1&gt;dropdown!$D$12,"",I141-J141))</f>
        <v/>
      </c>
      <c r="J142" s="58" t="str">
        <f>IF($B141="","",IF($B141+1&gt;dropdown!$D$12,"",IF(B141&lt;dropdown!$D$13,0,IF(Aflossingsmethode="Lineair",Aflossingsbedrag,IF(Aflossingsmethode="Annuïteit",IFERROR(Bedrag_annuïteit-K142,0),0)))))</f>
        <v/>
      </c>
      <c r="K142" s="58" t="str">
        <f>IF($B141="","",IF($B141+1&gt;dropdown!$D$12,"",G142*I142*Rentekosten))</f>
        <v/>
      </c>
      <c r="L142" s="58" t="str">
        <f t="shared" si="24"/>
        <v/>
      </c>
      <c r="M142" s="58" t="str">
        <f t="shared" si="18"/>
        <v/>
      </c>
      <c r="N142" s="57"/>
      <c r="O142" s="60" t="str">
        <f t="shared" si="19"/>
        <v/>
      </c>
      <c r="P142" s="60" t="str">
        <f t="shared" si="20"/>
        <v/>
      </c>
      <c r="Q142" s="60" t="str">
        <f t="shared" si="25"/>
        <v/>
      </c>
      <c r="R142" s="57"/>
      <c r="S142" s="58" t="str">
        <f t="shared" si="21"/>
        <v/>
      </c>
      <c r="T142" s="58" t="str">
        <f t="shared" si="22"/>
        <v/>
      </c>
      <c r="U142" s="61" t="str">
        <f t="shared" si="26"/>
        <v/>
      </c>
      <c r="V142" s="58" t="str">
        <f t="shared" si="23"/>
        <v/>
      </c>
      <c r="W142" s="57"/>
    </row>
    <row r="143" spans="1:23" s="59" customFormat="1" x14ac:dyDescent="0.25">
      <c r="A143" s="53"/>
      <c r="B143" s="54" t="str">
        <f>IF($B142="","",IF($B142+1&gt;dropdown!$D$12,"",Schema!B142+1))</f>
        <v/>
      </c>
      <c r="C143" s="55" t="str">
        <f>IF($B142="","",IF($B142+1&gt;dropdown!$D$12,"",EOMONTH(C142,0)+1))</f>
        <v/>
      </c>
      <c r="D143" s="53"/>
      <c r="E143" s="55" t="str">
        <f>IF($B142="","",IF($B142+1&gt;dropdown!$D$12,"",F142+1))</f>
        <v/>
      </c>
      <c r="F143" s="55" t="str">
        <f>IF($B142="","",IF($B142+1&gt;dropdown!$D$12,"",EOMONTH(E143,0)))</f>
        <v/>
      </c>
      <c r="G143" s="56" t="str">
        <f>IF($B142="","",IF($B142+1&gt;dropdown!$D$12,"",(_xlfn.DAYS(F143,E143)+1)/DAY(F143)))</f>
        <v/>
      </c>
      <c r="H143" s="57"/>
      <c r="I143" s="58" t="str">
        <f>IF($B142="","",IF($B142+1&gt;dropdown!$D$12,"",I142-J142))</f>
        <v/>
      </c>
      <c r="J143" s="58" t="str">
        <f>IF($B142="","",IF($B142+1&gt;dropdown!$D$12,"",IF(B142&lt;dropdown!$D$13,0,IF(Aflossingsmethode="Lineair",Aflossingsbedrag,IF(Aflossingsmethode="Annuïteit",IFERROR(Bedrag_annuïteit-K143,0),0)))))</f>
        <v/>
      </c>
      <c r="K143" s="58" t="str">
        <f>IF($B142="","",IF($B142+1&gt;dropdown!$D$12,"",G143*I143*Rentekosten))</f>
        <v/>
      </c>
      <c r="L143" s="58" t="str">
        <f t="shared" si="24"/>
        <v/>
      </c>
      <c r="M143" s="58" t="str">
        <f t="shared" si="18"/>
        <v/>
      </c>
      <c r="N143" s="57"/>
      <c r="O143" s="60" t="str">
        <f t="shared" si="19"/>
        <v/>
      </c>
      <c r="P143" s="60" t="str">
        <f t="shared" si="20"/>
        <v/>
      </c>
      <c r="Q143" s="60" t="str">
        <f t="shared" si="25"/>
        <v/>
      </c>
      <c r="R143" s="57"/>
      <c r="S143" s="58" t="str">
        <f t="shared" si="21"/>
        <v/>
      </c>
      <c r="T143" s="58" t="str">
        <f t="shared" si="22"/>
        <v/>
      </c>
      <c r="U143" s="61" t="str">
        <f t="shared" si="26"/>
        <v/>
      </c>
      <c r="V143" s="58" t="str">
        <f t="shared" si="23"/>
        <v/>
      </c>
      <c r="W143" s="57"/>
    </row>
    <row r="144" spans="1:23" s="59" customFormat="1" x14ac:dyDescent="0.25">
      <c r="A144" s="53"/>
      <c r="B144" s="54" t="str">
        <f>IF($B143="","",IF($B143+1&gt;dropdown!$D$12,"",Schema!B143+1))</f>
        <v/>
      </c>
      <c r="C144" s="55" t="str">
        <f>IF($B143="","",IF($B143+1&gt;dropdown!$D$12,"",EOMONTH(C143,0)+1))</f>
        <v/>
      </c>
      <c r="D144" s="53"/>
      <c r="E144" s="55" t="str">
        <f>IF($B143="","",IF($B143+1&gt;dropdown!$D$12,"",F143+1))</f>
        <v/>
      </c>
      <c r="F144" s="55" t="str">
        <f>IF($B143="","",IF($B143+1&gt;dropdown!$D$12,"",EOMONTH(E144,0)))</f>
        <v/>
      </c>
      <c r="G144" s="56" t="str">
        <f>IF($B143="","",IF($B143+1&gt;dropdown!$D$12,"",(_xlfn.DAYS(F144,E144)+1)/DAY(F144)))</f>
        <v/>
      </c>
      <c r="H144" s="57"/>
      <c r="I144" s="58" t="str">
        <f>IF($B143="","",IF($B143+1&gt;dropdown!$D$12,"",I143-J143))</f>
        <v/>
      </c>
      <c r="J144" s="58" t="str">
        <f>IF($B143="","",IF($B143+1&gt;dropdown!$D$12,"",IF(B143&lt;dropdown!$D$13,0,IF(Aflossingsmethode="Lineair",Aflossingsbedrag,IF(Aflossingsmethode="Annuïteit",IFERROR(Bedrag_annuïteit-K144,0),0)))))</f>
        <v/>
      </c>
      <c r="K144" s="58" t="str">
        <f>IF($B143="","",IF($B143+1&gt;dropdown!$D$12,"",G144*I144*Rentekosten))</f>
        <v/>
      </c>
      <c r="L144" s="58" t="str">
        <f t="shared" si="24"/>
        <v/>
      </c>
      <c r="M144" s="58" t="str">
        <f t="shared" si="18"/>
        <v/>
      </c>
      <c r="N144" s="57"/>
      <c r="O144" s="60" t="str">
        <f t="shared" si="19"/>
        <v/>
      </c>
      <c r="P144" s="60" t="str">
        <f t="shared" si="20"/>
        <v/>
      </c>
      <c r="Q144" s="60" t="str">
        <f t="shared" si="25"/>
        <v/>
      </c>
      <c r="R144" s="57"/>
      <c r="S144" s="58" t="str">
        <f t="shared" si="21"/>
        <v/>
      </c>
      <c r="T144" s="58" t="str">
        <f t="shared" si="22"/>
        <v/>
      </c>
      <c r="U144" s="61" t="str">
        <f t="shared" si="26"/>
        <v/>
      </c>
      <c r="V144" s="58" t="str">
        <f t="shared" si="23"/>
        <v/>
      </c>
      <c r="W144" s="57"/>
    </row>
    <row r="145" spans="1:23" s="59" customFormat="1" x14ac:dyDescent="0.25">
      <c r="A145" s="53"/>
      <c r="B145" s="54" t="str">
        <f>IF($B144="","",IF($B144+1&gt;dropdown!$D$12,"",Schema!B144+1))</f>
        <v/>
      </c>
      <c r="C145" s="55" t="str">
        <f>IF($B144="","",IF($B144+1&gt;dropdown!$D$12,"",EOMONTH(C144,0)+1))</f>
        <v/>
      </c>
      <c r="D145" s="53"/>
      <c r="E145" s="55" t="str">
        <f>IF($B144="","",IF($B144+1&gt;dropdown!$D$12,"",F144+1))</f>
        <v/>
      </c>
      <c r="F145" s="55" t="str">
        <f>IF($B144="","",IF($B144+1&gt;dropdown!$D$12,"",EOMONTH(E145,0)))</f>
        <v/>
      </c>
      <c r="G145" s="56" t="str">
        <f>IF($B144="","",IF($B144+1&gt;dropdown!$D$12,"",(_xlfn.DAYS(F145,E145)+1)/DAY(F145)))</f>
        <v/>
      </c>
      <c r="H145" s="57"/>
      <c r="I145" s="58" t="str">
        <f>IF($B144="","",IF($B144+1&gt;dropdown!$D$12,"",I144-J144))</f>
        <v/>
      </c>
      <c r="J145" s="58" t="str">
        <f>IF($B144="","",IF($B144+1&gt;dropdown!$D$12,"",IF(B144&lt;dropdown!$D$13,0,IF(Aflossingsmethode="Lineair",Aflossingsbedrag,IF(Aflossingsmethode="Annuïteit",IFERROR(Bedrag_annuïteit-K145,0),0)))))</f>
        <v/>
      </c>
      <c r="K145" s="58" t="str">
        <f>IF($B144="","",IF($B144+1&gt;dropdown!$D$12,"",G145*I145*Rentekosten))</f>
        <v/>
      </c>
      <c r="L145" s="58" t="str">
        <f t="shared" si="24"/>
        <v/>
      </c>
      <c r="M145" s="58" t="str">
        <f t="shared" si="18"/>
        <v/>
      </c>
      <c r="N145" s="57"/>
      <c r="O145" s="60" t="str">
        <f t="shared" si="19"/>
        <v/>
      </c>
      <c r="P145" s="60" t="str">
        <f t="shared" si="20"/>
        <v/>
      </c>
      <c r="Q145" s="60" t="str">
        <f t="shared" si="25"/>
        <v/>
      </c>
      <c r="R145" s="57"/>
      <c r="S145" s="58" t="str">
        <f t="shared" si="21"/>
        <v/>
      </c>
      <c r="T145" s="58" t="str">
        <f t="shared" si="22"/>
        <v/>
      </c>
      <c r="U145" s="61" t="str">
        <f t="shared" si="26"/>
        <v/>
      </c>
      <c r="V145" s="58" t="str">
        <f t="shared" si="23"/>
        <v/>
      </c>
      <c r="W145" s="57"/>
    </row>
    <row r="146" spans="1:23" s="59" customFormat="1" x14ac:dyDescent="0.25">
      <c r="A146" s="53"/>
      <c r="B146" s="54" t="str">
        <f>IF($B145="","",IF($B145+1&gt;dropdown!$D$12,"",Schema!B145+1))</f>
        <v/>
      </c>
      <c r="C146" s="55" t="str">
        <f>IF($B145="","",IF($B145+1&gt;dropdown!$D$12,"",EOMONTH(C145,0)+1))</f>
        <v/>
      </c>
      <c r="D146" s="53"/>
      <c r="E146" s="55" t="str">
        <f>IF($B145="","",IF($B145+1&gt;dropdown!$D$12,"",F145+1))</f>
        <v/>
      </c>
      <c r="F146" s="55" t="str">
        <f>IF($B145="","",IF($B145+1&gt;dropdown!$D$12,"",EOMONTH(E146,0)))</f>
        <v/>
      </c>
      <c r="G146" s="56" t="str">
        <f>IF($B145="","",IF($B145+1&gt;dropdown!$D$12,"",(_xlfn.DAYS(F146,E146)+1)/DAY(F146)))</f>
        <v/>
      </c>
      <c r="H146" s="57"/>
      <c r="I146" s="58" t="str">
        <f>IF($B145="","",IF($B145+1&gt;dropdown!$D$12,"",I145-J145))</f>
        <v/>
      </c>
      <c r="J146" s="58" t="str">
        <f>IF($B145="","",IF($B145+1&gt;dropdown!$D$12,"",IF(B145&lt;dropdown!$D$13,0,IF(Aflossingsmethode="Lineair",Aflossingsbedrag,IF(Aflossingsmethode="Annuïteit",IFERROR(Bedrag_annuïteit-K146,0),0)))))</f>
        <v/>
      </c>
      <c r="K146" s="58" t="str">
        <f>IF($B145="","",IF($B145+1&gt;dropdown!$D$12,"",G146*I146*Rentekosten))</f>
        <v/>
      </c>
      <c r="L146" s="58" t="str">
        <f t="shared" si="24"/>
        <v/>
      </c>
      <c r="M146" s="58" t="str">
        <f t="shared" si="18"/>
        <v/>
      </c>
      <c r="N146" s="57"/>
      <c r="O146" s="60" t="str">
        <f t="shared" si="19"/>
        <v/>
      </c>
      <c r="P146" s="60" t="str">
        <f t="shared" si="20"/>
        <v/>
      </c>
      <c r="Q146" s="60" t="str">
        <f t="shared" si="25"/>
        <v/>
      </c>
      <c r="R146" s="57"/>
      <c r="S146" s="58" t="str">
        <f t="shared" si="21"/>
        <v/>
      </c>
      <c r="T146" s="58" t="str">
        <f t="shared" si="22"/>
        <v/>
      </c>
      <c r="U146" s="61" t="str">
        <f t="shared" si="26"/>
        <v/>
      </c>
      <c r="V146" s="58" t="str">
        <f t="shared" si="23"/>
        <v/>
      </c>
      <c r="W146" s="57"/>
    </row>
    <row r="147" spans="1:23" s="59" customFormat="1" x14ac:dyDescent="0.25">
      <c r="A147" s="53"/>
      <c r="B147" s="54" t="str">
        <f>IF($B146="","",IF($B146+1&gt;dropdown!$D$12,"",Schema!B146+1))</f>
        <v/>
      </c>
      <c r="C147" s="55" t="str">
        <f>IF($B146="","",IF($B146+1&gt;dropdown!$D$12,"",EOMONTH(C146,0)+1))</f>
        <v/>
      </c>
      <c r="D147" s="53"/>
      <c r="E147" s="55" t="str">
        <f>IF($B146="","",IF($B146+1&gt;dropdown!$D$12,"",F146+1))</f>
        <v/>
      </c>
      <c r="F147" s="55" t="str">
        <f>IF($B146="","",IF($B146+1&gt;dropdown!$D$12,"",EOMONTH(E147,0)))</f>
        <v/>
      </c>
      <c r="G147" s="56" t="str">
        <f>IF($B146="","",IF($B146+1&gt;dropdown!$D$12,"",(_xlfn.DAYS(F147,E147)+1)/DAY(F147)))</f>
        <v/>
      </c>
      <c r="H147" s="57"/>
      <c r="I147" s="58" t="str">
        <f>IF($B146="","",IF($B146+1&gt;dropdown!$D$12,"",I146-J146))</f>
        <v/>
      </c>
      <c r="J147" s="58" t="str">
        <f>IF($B146="","",IF($B146+1&gt;dropdown!$D$12,"",IF(B146&lt;dropdown!$D$13,0,IF(Aflossingsmethode="Lineair",Aflossingsbedrag,IF(Aflossingsmethode="Annuïteit",IFERROR(Bedrag_annuïteit-K147,0),0)))))</f>
        <v/>
      </c>
      <c r="K147" s="58" t="str">
        <f>IF($B146="","",IF($B146+1&gt;dropdown!$D$12,"",G147*I147*Rentekosten))</f>
        <v/>
      </c>
      <c r="L147" s="58" t="str">
        <f t="shared" si="24"/>
        <v/>
      </c>
      <c r="M147" s="58" t="str">
        <f t="shared" si="18"/>
        <v/>
      </c>
      <c r="N147" s="57"/>
      <c r="O147" s="60" t="str">
        <f t="shared" si="19"/>
        <v/>
      </c>
      <c r="P147" s="60" t="str">
        <f t="shared" si="20"/>
        <v/>
      </c>
      <c r="Q147" s="60" t="str">
        <f t="shared" si="25"/>
        <v/>
      </c>
      <c r="R147" s="57"/>
      <c r="S147" s="58" t="str">
        <f t="shared" si="21"/>
        <v/>
      </c>
      <c r="T147" s="58" t="str">
        <f t="shared" si="22"/>
        <v/>
      </c>
      <c r="U147" s="61" t="str">
        <f t="shared" si="26"/>
        <v/>
      </c>
      <c r="V147" s="58" t="str">
        <f t="shared" si="23"/>
        <v/>
      </c>
      <c r="W147" s="57"/>
    </row>
    <row r="148" spans="1:23" s="59" customFormat="1" x14ac:dyDescent="0.25">
      <c r="A148" s="53"/>
      <c r="B148" s="54" t="str">
        <f>IF($B147="","",IF($B147+1&gt;dropdown!$D$12,"",Schema!B147+1))</f>
        <v/>
      </c>
      <c r="C148" s="55" t="str">
        <f>IF($B147="","",IF($B147+1&gt;dropdown!$D$12,"",EOMONTH(C147,0)+1))</f>
        <v/>
      </c>
      <c r="D148" s="53"/>
      <c r="E148" s="55" t="str">
        <f>IF($B147="","",IF($B147+1&gt;dropdown!$D$12,"",F147+1))</f>
        <v/>
      </c>
      <c r="F148" s="55" t="str">
        <f>IF($B147="","",IF($B147+1&gt;dropdown!$D$12,"",EOMONTH(E148,0)))</f>
        <v/>
      </c>
      <c r="G148" s="56" t="str">
        <f>IF($B147="","",IF($B147+1&gt;dropdown!$D$12,"",(_xlfn.DAYS(F148,E148)+1)/DAY(F148)))</f>
        <v/>
      </c>
      <c r="H148" s="57"/>
      <c r="I148" s="58" t="str">
        <f>IF($B147="","",IF($B147+1&gt;dropdown!$D$12,"",I147-J147))</f>
        <v/>
      </c>
      <c r="J148" s="58" t="str">
        <f>IF($B147="","",IF($B147+1&gt;dropdown!$D$12,"",IF(B147&lt;dropdown!$D$13,0,IF(Aflossingsmethode="Lineair",Aflossingsbedrag,IF(Aflossingsmethode="Annuïteit",IFERROR(Bedrag_annuïteit-K148,0),0)))))</f>
        <v/>
      </c>
      <c r="K148" s="58" t="str">
        <f>IF($B147="","",IF($B147+1&gt;dropdown!$D$12,"",G148*I148*Rentekosten))</f>
        <v/>
      </c>
      <c r="L148" s="58" t="str">
        <f t="shared" si="24"/>
        <v/>
      </c>
      <c r="M148" s="58" t="str">
        <f t="shared" si="18"/>
        <v/>
      </c>
      <c r="N148" s="57"/>
      <c r="O148" s="60" t="str">
        <f t="shared" si="19"/>
        <v/>
      </c>
      <c r="P148" s="60" t="str">
        <f t="shared" si="20"/>
        <v/>
      </c>
      <c r="Q148" s="60" t="str">
        <f t="shared" si="25"/>
        <v/>
      </c>
      <c r="R148" s="57"/>
      <c r="S148" s="58" t="str">
        <f t="shared" si="21"/>
        <v/>
      </c>
      <c r="T148" s="58" t="str">
        <f t="shared" si="22"/>
        <v/>
      </c>
      <c r="U148" s="61" t="str">
        <f t="shared" si="26"/>
        <v/>
      </c>
      <c r="V148" s="58" t="str">
        <f t="shared" si="23"/>
        <v/>
      </c>
      <c r="W148" s="57"/>
    </row>
    <row r="149" spans="1:23" s="59" customFormat="1" x14ac:dyDescent="0.25">
      <c r="A149" s="53"/>
      <c r="B149" s="54" t="str">
        <f>IF($B148="","",IF($B148+1&gt;dropdown!$D$12,"",Schema!B148+1))</f>
        <v/>
      </c>
      <c r="C149" s="55" t="str">
        <f>IF($B148="","",IF($B148+1&gt;dropdown!$D$12,"",EOMONTH(C148,0)+1))</f>
        <v/>
      </c>
      <c r="D149" s="53"/>
      <c r="E149" s="55" t="str">
        <f>IF($B148="","",IF($B148+1&gt;dropdown!$D$12,"",F148+1))</f>
        <v/>
      </c>
      <c r="F149" s="55" t="str">
        <f>IF($B148="","",IF($B148+1&gt;dropdown!$D$12,"",EOMONTH(E149,0)))</f>
        <v/>
      </c>
      <c r="G149" s="56" t="str">
        <f>IF($B148="","",IF($B148+1&gt;dropdown!$D$12,"",(_xlfn.DAYS(F149,E149)+1)/DAY(F149)))</f>
        <v/>
      </c>
      <c r="H149" s="57"/>
      <c r="I149" s="58" t="str">
        <f>IF($B148="","",IF($B148+1&gt;dropdown!$D$12,"",I148-J148))</f>
        <v/>
      </c>
      <c r="J149" s="58" t="str">
        <f>IF($B148="","",IF($B148+1&gt;dropdown!$D$12,"",IF(B148&lt;dropdown!$D$13,0,IF(Aflossingsmethode="Lineair",Aflossingsbedrag,IF(Aflossingsmethode="Annuïteit",IFERROR(Bedrag_annuïteit-K149,0),0)))))</f>
        <v/>
      </c>
      <c r="K149" s="58" t="str">
        <f>IF($B148="","",IF($B148+1&gt;dropdown!$D$12,"",G149*I149*Rentekosten))</f>
        <v/>
      </c>
      <c r="L149" s="58" t="str">
        <f t="shared" si="24"/>
        <v/>
      </c>
      <c r="M149" s="58" t="str">
        <f t="shared" si="18"/>
        <v/>
      </c>
      <c r="N149" s="57"/>
      <c r="O149" s="60" t="str">
        <f t="shared" si="19"/>
        <v/>
      </c>
      <c r="P149" s="60" t="str">
        <f t="shared" si="20"/>
        <v/>
      </c>
      <c r="Q149" s="60" t="str">
        <f t="shared" si="25"/>
        <v/>
      </c>
      <c r="R149" s="57"/>
      <c r="S149" s="58" t="str">
        <f t="shared" si="21"/>
        <v/>
      </c>
      <c r="T149" s="58" t="str">
        <f t="shared" si="22"/>
        <v/>
      </c>
      <c r="U149" s="61" t="str">
        <f t="shared" si="26"/>
        <v/>
      </c>
      <c r="V149" s="58" t="str">
        <f t="shared" si="23"/>
        <v/>
      </c>
      <c r="W149" s="57"/>
    </row>
    <row r="150" spans="1:23" s="59" customFormat="1" x14ac:dyDescent="0.25">
      <c r="A150" s="53"/>
      <c r="B150" s="54" t="str">
        <f>IF($B149="","",IF($B149+1&gt;dropdown!$D$12,"",Schema!B149+1))</f>
        <v/>
      </c>
      <c r="C150" s="55" t="str">
        <f>IF($B149="","",IF($B149+1&gt;dropdown!$D$12,"",EOMONTH(C149,0)+1))</f>
        <v/>
      </c>
      <c r="D150" s="53"/>
      <c r="E150" s="55" t="str">
        <f>IF($B149="","",IF($B149+1&gt;dropdown!$D$12,"",F149+1))</f>
        <v/>
      </c>
      <c r="F150" s="55" t="str">
        <f>IF($B149="","",IF($B149+1&gt;dropdown!$D$12,"",EOMONTH(E150,0)))</f>
        <v/>
      </c>
      <c r="G150" s="56" t="str">
        <f>IF($B149="","",IF($B149+1&gt;dropdown!$D$12,"",(_xlfn.DAYS(F150,E150)+1)/DAY(F150)))</f>
        <v/>
      </c>
      <c r="H150" s="57"/>
      <c r="I150" s="58" t="str">
        <f>IF($B149="","",IF($B149+1&gt;dropdown!$D$12,"",I149-J149))</f>
        <v/>
      </c>
      <c r="J150" s="58" t="str">
        <f>IF($B149="","",IF($B149+1&gt;dropdown!$D$12,"",IF(B149&lt;dropdown!$D$13,0,IF(Aflossingsmethode="Lineair",Aflossingsbedrag,IF(Aflossingsmethode="Annuïteit",IFERROR(Bedrag_annuïteit-K150,0),0)))))</f>
        <v/>
      </c>
      <c r="K150" s="58" t="str">
        <f>IF($B149="","",IF($B149+1&gt;dropdown!$D$12,"",G150*I150*Rentekosten))</f>
        <v/>
      </c>
      <c r="L150" s="58" t="str">
        <f t="shared" si="24"/>
        <v/>
      </c>
      <c r="M150" s="58" t="str">
        <f t="shared" si="18"/>
        <v/>
      </c>
      <c r="N150" s="57"/>
      <c r="O150" s="60" t="str">
        <f t="shared" si="19"/>
        <v/>
      </c>
      <c r="P150" s="60" t="str">
        <f t="shared" si="20"/>
        <v/>
      </c>
      <c r="Q150" s="60" t="str">
        <f t="shared" si="25"/>
        <v/>
      </c>
      <c r="R150" s="57"/>
      <c r="S150" s="58" t="str">
        <f t="shared" si="21"/>
        <v/>
      </c>
      <c r="T150" s="58" t="str">
        <f t="shared" si="22"/>
        <v/>
      </c>
      <c r="U150" s="61" t="str">
        <f t="shared" si="26"/>
        <v/>
      </c>
      <c r="V150" s="58" t="str">
        <f t="shared" si="23"/>
        <v/>
      </c>
      <c r="W150" s="57"/>
    </row>
    <row r="151" spans="1:23" s="59" customFormat="1" x14ac:dyDescent="0.25">
      <c r="A151" s="53"/>
      <c r="B151" s="54" t="str">
        <f>IF($B150="","",IF($B150+1&gt;dropdown!$D$12,"",Schema!B150+1))</f>
        <v/>
      </c>
      <c r="C151" s="55" t="str">
        <f>IF($B150="","",IF($B150+1&gt;dropdown!$D$12,"",EOMONTH(C150,0)+1))</f>
        <v/>
      </c>
      <c r="D151" s="53"/>
      <c r="E151" s="55" t="str">
        <f>IF($B150="","",IF($B150+1&gt;dropdown!$D$12,"",F150+1))</f>
        <v/>
      </c>
      <c r="F151" s="55" t="str">
        <f>IF($B150="","",IF($B150+1&gt;dropdown!$D$12,"",EOMONTH(E151,0)))</f>
        <v/>
      </c>
      <c r="G151" s="56" t="str">
        <f>IF($B150="","",IF($B150+1&gt;dropdown!$D$12,"",(_xlfn.DAYS(F151,E151)+1)/DAY(F151)))</f>
        <v/>
      </c>
      <c r="H151" s="57"/>
      <c r="I151" s="58" t="str">
        <f>IF($B150="","",IF($B150+1&gt;dropdown!$D$12,"",I150-J150))</f>
        <v/>
      </c>
      <c r="J151" s="58" t="str">
        <f>IF($B150="","",IF($B150+1&gt;dropdown!$D$12,"",IF(B150&lt;dropdown!$D$13,0,IF(Aflossingsmethode="Lineair",Aflossingsbedrag,IF(Aflossingsmethode="Annuïteit",IFERROR(Bedrag_annuïteit-K151,0),0)))))</f>
        <v/>
      </c>
      <c r="K151" s="58" t="str">
        <f>IF($B150="","",IF($B150+1&gt;dropdown!$D$12,"",G151*I151*Rentekosten))</f>
        <v/>
      </c>
      <c r="L151" s="58" t="str">
        <f t="shared" si="24"/>
        <v/>
      </c>
      <c r="M151" s="58" t="str">
        <f t="shared" si="18"/>
        <v/>
      </c>
      <c r="N151" s="57"/>
      <c r="O151" s="60" t="str">
        <f t="shared" si="19"/>
        <v/>
      </c>
      <c r="P151" s="60" t="str">
        <f t="shared" si="20"/>
        <v/>
      </c>
      <c r="Q151" s="60" t="str">
        <f t="shared" si="25"/>
        <v/>
      </c>
      <c r="R151" s="57"/>
      <c r="S151" s="58" t="str">
        <f t="shared" si="21"/>
        <v/>
      </c>
      <c r="T151" s="58" t="str">
        <f t="shared" si="22"/>
        <v/>
      </c>
      <c r="U151" s="61" t="str">
        <f t="shared" si="26"/>
        <v/>
      </c>
      <c r="V151" s="58" t="str">
        <f t="shared" si="23"/>
        <v/>
      </c>
      <c r="W151" s="57"/>
    </row>
    <row r="152" spans="1:23" s="59" customFormat="1" x14ac:dyDescent="0.25">
      <c r="A152" s="53"/>
      <c r="B152" s="54" t="str">
        <f>IF($B151="","",IF($B151+1&gt;dropdown!$D$12,"",Schema!B151+1))</f>
        <v/>
      </c>
      <c r="C152" s="55" t="str">
        <f>IF($B151="","",IF($B151+1&gt;dropdown!$D$12,"",EOMONTH(C151,0)+1))</f>
        <v/>
      </c>
      <c r="D152" s="53"/>
      <c r="E152" s="55" t="str">
        <f>IF($B151="","",IF($B151+1&gt;dropdown!$D$12,"",F151+1))</f>
        <v/>
      </c>
      <c r="F152" s="55" t="str">
        <f>IF($B151="","",IF($B151+1&gt;dropdown!$D$12,"",EOMONTH(E152,0)))</f>
        <v/>
      </c>
      <c r="G152" s="56" t="str">
        <f>IF($B151="","",IF($B151+1&gt;dropdown!$D$12,"",(_xlfn.DAYS(F152,E152)+1)/DAY(F152)))</f>
        <v/>
      </c>
      <c r="H152" s="57"/>
      <c r="I152" s="58" t="str">
        <f>IF($B151="","",IF($B151+1&gt;dropdown!$D$12,"",I151-J151))</f>
        <v/>
      </c>
      <c r="J152" s="58" t="str">
        <f>IF($B151="","",IF($B151+1&gt;dropdown!$D$12,"",IF(B151&lt;dropdown!$D$13,0,IF(Aflossingsmethode="Lineair",Aflossingsbedrag,IF(Aflossingsmethode="Annuïteit",IFERROR(Bedrag_annuïteit-K152,0),0)))))</f>
        <v/>
      </c>
      <c r="K152" s="58" t="str">
        <f>IF($B151="","",IF($B151+1&gt;dropdown!$D$12,"",G152*I152*Rentekosten))</f>
        <v/>
      </c>
      <c r="L152" s="58" t="str">
        <f t="shared" si="24"/>
        <v/>
      </c>
      <c r="M152" s="58" t="str">
        <f t="shared" si="18"/>
        <v/>
      </c>
      <c r="N152" s="57"/>
      <c r="O152" s="60" t="str">
        <f t="shared" si="19"/>
        <v/>
      </c>
      <c r="P152" s="60" t="str">
        <f t="shared" si="20"/>
        <v/>
      </c>
      <c r="Q152" s="60" t="str">
        <f t="shared" si="25"/>
        <v/>
      </c>
      <c r="R152" s="57"/>
      <c r="S152" s="58" t="str">
        <f t="shared" si="21"/>
        <v/>
      </c>
      <c r="T152" s="58" t="str">
        <f t="shared" si="22"/>
        <v/>
      </c>
      <c r="U152" s="61" t="str">
        <f t="shared" si="26"/>
        <v/>
      </c>
      <c r="V152" s="58" t="str">
        <f t="shared" si="23"/>
        <v/>
      </c>
      <c r="W152" s="57"/>
    </row>
    <row r="153" spans="1:23" s="59" customFormat="1" x14ac:dyDescent="0.25">
      <c r="A153" s="53"/>
      <c r="B153" s="54" t="str">
        <f>IF($B152="","",IF($B152+1&gt;dropdown!$D$12,"",Schema!B152+1))</f>
        <v/>
      </c>
      <c r="C153" s="55" t="str">
        <f>IF($B152="","",IF($B152+1&gt;dropdown!$D$12,"",EOMONTH(C152,0)+1))</f>
        <v/>
      </c>
      <c r="D153" s="53"/>
      <c r="E153" s="55" t="str">
        <f>IF($B152="","",IF($B152+1&gt;dropdown!$D$12,"",F152+1))</f>
        <v/>
      </c>
      <c r="F153" s="55" t="str">
        <f>IF($B152="","",IF($B152+1&gt;dropdown!$D$12,"",EOMONTH(E153,0)))</f>
        <v/>
      </c>
      <c r="G153" s="56" t="str">
        <f>IF($B152="","",IF($B152+1&gt;dropdown!$D$12,"",(_xlfn.DAYS(F153,E153)+1)/DAY(F153)))</f>
        <v/>
      </c>
      <c r="H153" s="57"/>
      <c r="I153" s="58" t="str">
        <f>IF($B152="","",IF($B152+1&gt;dropdown!$D$12,"",I152-J152))</f>
        <v/>
      </c>
      <c r="J153" s="58" t="str">
        <f>IF($B152="","",IF($B152+1&gt;dropdown!$D$12,"",IF(B152&lt;dropdown!$D$13,0,IF(Aflossingsmethode="Lineair",Aflossingsbedrag,IF(Aflossingsmethode="Annuïteit",IFERROR(Bedrag_annuïteit-K153,0),0)))))</f>
        <v/>
      </c>
      <c r="K153" s="58" t="str">
        <f>IF($B152="","",IF($B152+1&gt;dropdown!$D$12,"",G153*I153*Rentekosten))</f>
        <v/>
      </c>
      <c r="L153" s="58" t="str">
        <f t="shared" si="24"/>
        <v/>
      </c>
      <c r="M153" s="58" t="str">
        <f t="shared" si="18"/>
        <v/>
      </c>
      <c r="N153" s="57"/>
      <c r="O153" s="60" t="str">
        <f t="shared" si="19"/>
        <v/>
      </c>
      <c r="P153" s="60" t="str">
        <f t="shared" si="20"/>
        <v/>
      </c>
      <c r="Q153" s="60" t="str">
        <f t="shared" si="25"/>
        <v/>
      </c>
      <c r="R153" s="57"/>
      <c r="S153" s="58" t="str">
        <f t="shared" si="21"/>
        <v/>
      </c>
      <c r="T153" s="58" t="str">
        <f t="shared" si="22"/>
        <v/>
      </c>
      <c r="U153" s="61" t="str">
        <f t="shared" si="26"/>
        <v/>
      </c>
      <c r="V153" s="58" t="str">
        <f t="shared" si="23"/>
        <v/>
      </c>
      <c r="W153" s="57"/>
    </row>
    <row r="154" spans="1:23" s="59" customFormat="1" x14ac:dyDescent="0.25">
      <c r="A154" s="53"/>
      <c r="B154" s="54" t="str">
        <f>IF($B153="","",IF($B153+1&gt;dropdown!$D$12,"",Schema!B153+1))</f>
        <v/>
      </c>
      <c r="C154" s="55" t="str">
        <f>IF($B153="","",IF($B153+1&gt;dropdown!$D$12,"",EOMONTH(C153,0)+1))</f>
        <v/>
      </c>
      <c r="D154" s="53"/>
      <c r="E154" s="55" t="str">
        <f>IF($B153="","",IF($B153+1&gt;dropdown!$D$12,"",F153+1))</f>
        <v/>
      </c>
      <c r="F154" s="55" t="str">
        <f>IF($B153="","",IF($B153+1&gt;dropdown!$D$12,"",EOMONTH(E154,0)))</f>
        <v/>
      </c>
      <c r="G154" s="56" t="str">
        <f>IF($B153="","",IF($B153+1&gt;dropdown!$D$12,"",(_xlfn.DAYS(F154,E154)+1)/DAY(F154)))</f>
        <v/>
      </c>
      <c r="H154" s="57"/>
      <c r="I154" s="58" t="str">
        <f>IF($B153="","",IF($B153+1&gt;dropdown!$D$12,"",I153-J153))</f>
        <v/>
      </c>
      <c r="J154" s="58" t="str">
        <f>IF($B153="","",IF($B153+1&gt;dropdown!$D$12,"",IF(B153&lt;dropdown!$D$13,0,IF(Aflossingsmethode="Lineair",Aflossingsbedrag,IF(Aflossingsmethode="Annuïteit",IFERROR(Bedrag_annuïteit-K154,0),0)))))</f>
        <v/>
      </c>
      <c r="K154" s="58" t="str">
        <f>IF($B153="","",IF($B153+1&gt;dropdown!$D$12,"",G154*I154*Rentekosten))</f>
        <v/>
      </c>
      <c r="L154" s="58" t="str">
        <f t="shared" si="24"/>
        <v/>
      </c>
      <c r="M154" s="58" t="str">
        <f t="shared" si="18"/>
        <v/>
      </c>
      <c r="N154" s="57"/>
      <c r="O154" s="60" t="str">
        <f t="shared" si="19"/>
        <v/>
      </c>
      <c r="P154" s="60" t="str">
        <f t="shared" si="20"/>
        <v/>
      </c>
      <c r="Q154" s="60" t="str">
        <f t="shared" si="25"/>
        <v/>
      </c>
      <c r="R154" s="57"/>
      <c r="S154" s="58" t="str">
        <f t="shared" si="21"/>
        <v/>
      </c>
      <c r="T154" s="58" t="str">
        <f t="shared" si="22"/>
        <v/>
      </c>
      <c r="U154" s="61" t="str">
        <f t="shared" si="26"/>
        <v/>
      </c>
      <c r="V154" s="58" t="str">
        <f t="shared" si="23"/>
        <v/>
      </c>
      <c r="W154" s="57"/>
    </row>
    <row r="155" spans="1:23" s="59" customFormat="1" x14ac:dyDescent="0.25">
      <c r="A155" s="53"/>
      <c r="B155" s="54" t="str">
        <f>IF($B154="","",IF($B154+1&gt;dropdown!$D$12,"",Schema!B154+1))</f>
        <v/>
      </c>
      <c r="C155" s="55" t="str">
        <f>IF($B154="","",IF($B154+1&gt;dropdown!$D$12,"",EOMONTH(C154,0)+1))</f>
        <v/>
      </c>
      <c r="D155" s="53"/>
      <c r="E155" s="55" t="str">
        <f>IF($B154="","",IF($B154+1&gt;dropdown!$D$12,"",F154+1))</f>
        <v/>
      </c>
      <c r="F155" s="55" t="str">
        <f>IF($B154="","",IF($B154+1&gt;dropdown!$D$12,"",EOMONTH(E155,0)))</f>
        <v/>
      </c>
      <c r="G155" s="56" t="str">
        <f>IF($B154="","",IF($B154+1&gt;dropdown!$D$12,"",(_xlfn.DAYS(F155,E155)+1)/DAY(F155)))</f>
        <v/>
      </c>
      <c r="H155" s="57"/>
      <c r="I155" s="58" t="str">
        <f>IF($B154="","",IF($B154+1&gt;dropdown!$D$12,"",I154-J154))</f>
        <v/>
      </c>
      <c r="J155" s="58" t="str">
        <f>IF($B154="","",IF($B154+1&gt;dropdown!$D$12,"",IF(B154&lt;dropdown!$D$13,0,IF(Aflossingsmethode="Lineair",Aflossingsbedrag,IF(Aflossingsmethode="Annuïteit",IFERROR(Bedrag_annuïteit-K155,0),0)))))</f>
        <v/>
      </c>
      <c r="K155" s="58" t="str">
        <f>IF($B154="","",IF($B154+1&gt;dropdown!$D$12,"",G155*I155*Rentekosten))</f>
        <v/>
      </c>
      <c r="L155" s="58" t="str">
        <f t="shared" si="24"/>
        <v/>
      </c>
      <c r="M155" s="58" t="str">
        <f t="shared" si="18"/>
        <v/>
      </c>
      <c r="N155" s="57"/>
      <c r="O155" s="60" t="str">
        <f t="shared" si="19"/>
        <v/>
      </c>
      <c r="P155" s="60" t="str">
        <f t="shared" si="20"/>
        <v/>
      </c>
      <c r="Q155" s="60" t="str">
        <f t="shared" si="25"/>
        <v/>
      </c>
      <c r="R155" s="57"/>
      <c r="S155" s="58" t="str">
        <f t="shared" si="21"/>
        <v/>
      </c>
      <c r="T155" s="58" t="str">
        <f t="shared" si="22"/>
        <v/>
      </c>
      <c r="U155" s="61" t="str">
        <f t="shared" si="26"/>
        <v/>
      </c>
      <c r="V155" s="58" t="str">
        <f t="shared" si="23"/>
        <v/>
      </c>
      <c r="W155" s="57"/>
    </row>
    <row r="156" spans="1:23" s="59" customFormat="1" x14ac:dyDescent="0.25">
      <c r="A156" s="53"/>
      <c r="B156" s="54" t="str">
        <f>IF($B155="","",IF($B155+1&gt;dropdown!$D$12,"",Schema!B155+1))</f>
        <v/>
      </c>
      <c r="C156" s="55" t="str">
        <f>IF($B155="","",IF($B155+1&gt;dropdown!$D$12,"",EOMONTH(C155,0)+1))</f>
        <v/>
      </c>
      <c r="D156" s="53"/>
      <c r="E156" s="55" t="str">
        <f>IF($B155="","",IF($B155+1&gt;dropdown!$D$12,"",F155+1))</f>
        <v/>
      </c>
      <c r="F156" s="55" t="str">
        <f>IF($B155="","",IF($B155+1&gt;dropdown!$D$12,"",EOMONTH(E156,0)))</f>
        <v/>
      </c>
      <c r="G156" s="56" t="str">
        <f>IF($B155="","",IF($B155+1&gt;dropdown!$D$12,"",(_xlfn.DAYS(F156,E156)+1)/DAY(F156)))</f>
        <v/>
      </c>
      <c r="H156" s="57"/>
      <c r="I156" s="58" t="str">
        <f>IF($B155="","",IF($B155+1&gt;dropdown!$D$12,"",I155-J155))</f>
        <v/>
      </c>
      <c r="J156" s="58" t="str">
        <f>IF($B155="","",IF($B155+1&gt;dropdown!$D$12,"",IF(B155&lt;dropdown!$D$13,0,IF(Aflossingsmethode="Lineair",Aflossingsbedrag,IF(Aflossingsmethode="Annuïteit",IFERROR(Bedrag_annuïteit-K156,0),0)))))</f>
        <v/>
      </c>
      <c r="K156" s="58" t="str">
        <f>IF($B155="","",IF($B155+1&gt;dropdown!$D$12,"",G156*I156*Rentekosten))</f>
        <v/>
      </c>
      <c r="L156" s="58" t="str">
        <f t="shared" si="24"/>
        <v/>
      </c>
      <c r="M156" s="58" t="str">
        <f t="shared" si="18"/>
        <v/>
      </c>
      <c r="N156" s="57"/>
      <c r="O156" s="60" t="str">
        <f t="shared" si="19"/>
        <v/>
      </c>
      <c r="P156" s="60" t="str">
        <f t="shared" si="20"/>
        <v/>
      </c>
      <c r="Q156" s="60" t="str">
        <f t="shared" si="25"/>
        <v/>
      </c>
      <c r="R156" s="57"/>
      <c r="S156" s="58" t="str">
        <f t="shared" si="21"/>
        <v/>
      </c>
      <c r="T156" s="58" t="str">
        <f t="shared" si="22"/>
        <v/>
      </c>
      <c r="U156" s="61" t="str">
        <f t="shared" si="26"/>
        <v/>
      </c>
      <c r="V156" s="58" t="str">
        <f t="shared" si="23"/>
        <v/>
      </c>
      <c r="W156" s="57"/>
    </row>
    <row r="157" spans="1:23" s="59" customFormat="1" x14ac:dyDescent="0.25">
      <c r="A157" s="53"/>
      <c r="B157" s="54" t="str">
        <f>IF($B156="","",IF($B156+1&gt;dropdown!$D$12,"",Schema!B156+1))</f>
        <v/>
      </c>
      <c r="C157" s="55" t="str">
        <f>IF($B156="","",IF($B156+1&gt;dropdown!$D$12,"",EOMONTH(C156,0)+1))</f>
        <v/>
      </c>
      <c r="D157" s="53"/>
      <c r="E157" s="55" t="str">
        <f>IF($B156="","",IF($B156+1&gt;dropdown!$D$12,"",F156+1))</f>
        <v/>
      </c>
      <c r="F157" s="55" t="str">
        <f>IF($B156="","",IF($B156+1&gt;dropdown!$D$12,"",EOMONTH(E157,0)))</f>
        <v/>
      </c>
      <c r="G157" s="56" t="str">
        <f>IF($B156="","",IF($B156+1&gt;dropdown!$D$12,"",(_xlfn.DAYS(F157,E157)+1)/DAY(F157)))</f>
        <v/>
      </c>
      <c r="H157" s="57"/>
      <c r="I157" s="58" t="str">
        <f>IF($B156="","",IF($B156+1&gt;dropdown!$D$12,"",I156-J156))</f>
        <v/>
      </c>
      <c r="J157" s="58" t="str">
        <f>IF($B156="","",IF($B156+1&gt;dropdown!$D$12,"",IF(B156&lt;dropdown!$D$13,0,IF(Aflossingsmethode="Lineair",Aflossingsbedrag,IF(Aflossingsmethode="Annuïteit",IFERROR(Bedrag_annuïteit-K157,0),0)))))</f>
        <v/>
      </c>
      <c r="K157" s="58" t="str">
        <f>IF($B156="","",IF($B156+1&gt;dropdown!$D$12,"",G157*I157*Rentekosten))</f>
        <v/>
      </c>
      <c r="L157" s="58" t="str">
        <f t="shared" si="24"/>
        <v/>
      </c>
      <c r="M157" s="58" t="str">
        <f t="shared" si="18"/>
        <v/>
      </c>
      <c r="N157" s="57"/>
      <c r="O157" s="60" t="str">
        <f t="shared" si="19"/>
        <v/>
      </c>
      <c r="P157" s="60" t="str">
        <f t="shared" si="20"/>
        <v/>
      </c>
      <c r="Q157" s="60" t="str">
        <f t="shared" si="25"/>
        <v/>
      </c>
      <c r="R157" s="57"/>
      <c r="S157" s="58" t="str">
        <f t="shared" si="21"/>
        <v/>
      </c>
      <c r="T157" s="58" t="str">
        <f t="shared" si="22"/>
        <v/>
      </c>
      <c r="U157" s="61" t="str">
        <f t="shared" si="26"/>
        <v/>
      </c>
      <c r="V157" s="58" t="str">
        <f t="shared" si="23"/>
        <v/>
      </c>
      <c r="W157" s="57"/>
    </row>
    <row r="158" spans="1:23" s="59" customFormat="1" x14ac:dyDescent="0.25">
      <c r="A158" s="53"/>
      <c r="B158" s="54" t="str">
        <f>IF($B157="","",IF($B157+1&gt;dropdown!$D$12,"",Schema!B157+1))</f>
        <v/>
      </c>
      <c r="C158" s="55" t="str">
        <f>IF($B157="","",IF($B157+1&gt;dropdown!$D$12,"",EOMONTH(C157,0)+1))</f>
        <v/>
      </c>
      <c r="D158" s="53"/>
      <c r="E158" s="55" t="str">
        <f>IF($B157="","",IF($B157+1&gt;dropdown!$D$12,"",F157+1))</f>
        <v/>
      </c>
      <c r="F158" s="55" t="str">
        <f>IF($B157="","",IF($B157+1&gt;dropdown!$D$12,"",EOMONTH(E158,0)))</f>
        <v/>
      </c>
      <c r="G158" s="56" t="str">
        <f>IF($B157="","",IF($B157+1&gt;dropdown!$D$12,"",(_xlfn.DAYS(F158,E158)+1)/DAY(F158)))</f>
        <v/>
      </c>
      <c r="H158" s="57"/>
      <c r="I158" s="58" t="str">
        <f>IF($B157="","",IF($B157+1&gt;dropdown!$D$12,"",I157-J157))</f>
        <v/>
      </c>
      <c r="J158" s="58" t="str">
        <f>IF($B157="","",IF($B157+1&gt;dropdown!$D$12,"",IF(B157&lt;dropdown!$D$13,0,IF(Aflossingsmethode="Lineair",Aflossingsbedrag,IF(Aflossingsmethode="Annuïteit",IFERROR(Bedrag_annuïteit-K158,0),0)))))</f>
        <v/>
      </c>
      <c r="K158" s="58" t="str">
        <f>IF($B157="","",IF($B157+1&gt;dropdown!$D$12,"",G158*I158*Rentekosten))</f>
        <v/>
      </c>
      <c r="L158" s="58" t="str">
        <f t="shared" si="24"/>
        <v/>
      </c>
      <c r="M158" s="58" t="str">
        <f t="shared" si="18"/>
        <v/>
      </c>
      <c r="N158" s="57"/>
      <c r="O158" s="60" t="str">
        <f t="shared" si="19"/>
        <v/>
      </c>
      <c r="P158" s="60" t="str">
        <f t="shared" si="20"/>
        <v/>
      </c>
      <c r="Q158" s="60" t="str">
        <f t="shared" si="25"/>
        <v/>
      </c>
      <c r="R158" s="57"/>
      <c r="S158" s="58" t="str">
        <f t="shared" si="21"/>
        <v/>
      </c>
      <c r="T158" s="58" t="str">
        <f t="shared" si="22"/>
        <v/>
      </c>
      <c r="U158" s="61" t="str">
        <f t="shared" si="26"/>
        <v/>
      </c>
      <c r="V158" s="58" t="str">
        <f t="shared" si="23"/>
        <v/>
      </c>
      <c r="W158" s="57"/>
    </row>
    <row r="159" spans="1:23" s="59" customFormat="1" x14ac:dyDescent="0.25">
      <c r="A159" s="53"/>
      <c r="B159" s="54" t="str">
        <f>IF($B158="","",IF($B158+1&gt;dropdown!$D$12,"",Schema!B158+1))</f>
        <v/>
      </c>
      <c r="C159" s="55" t="str">
        <f>IF($B158="","",IF($B158+1&gt;dropdown!$D$12,"",EOMONTH(C158,0)+1))</f>
        <v/>
      </c>
      <c r="D159" s="53"/>
      <c r="E159" s="55" t="str">
        <f>IF($B158="","",IF($B158+1&gt;dropdown!$D$12,"",F158+1))</f>
        <v/>
      </c>
      <c r="F159" s="55" t="str">
        <f>IF($B158="","",IF($B158+1&gt;dropdown!$D$12,"",EOMONTH(E159,0)))</f>
        <v/>
      </c>
      <c r="G159" s="56" t="str">
        <f>IF($B158="","",IF($B158+1&gt;dropdown!$D$12,"",(_xlfn.DAYS(F159,E159)+1)/DAY(F159)))</f>
        <v/>
      </c>
      <c r="H159" s="57"/>
      <c r="I159" s="58" t="str">
        <f>IF($B158="","",IF($B158+1&gt;dropdown!$D$12,"",I158-J158))</f>
        <v/>
      </c>
      <c r="J159" s="58" t="str">
        <f>IF($B158="","",IF($B158+1&gt;dropdown!$D$12,"",IF(B158&lt;dropdown!$D$13,0,IF(Aflossingsmethode="Lineair",Aflossingsbedrag,IF(Aflossingsmethode="Annuïteit",IFERROR(Bedrag_annuïteit-K159,0),0)))))</f>
        <v/>
      </c>
      <c r="K159" s="58" t="str">
        <f>IF($B158="","",IF($B158+1&gt;dropdown!$D$12,"",G159*I159*Rentekosten))</f>
        <v/>
      </c>
      <c r="L159" s="58" t="str">
        <f t="shared" si="24"/>
        <v/>
      </c>
      <c r="M159" s="58" t="str">
        <f t="shared" si="18"/>
        <v/>
      </c>
      <c r="N159" s="57"/>
      <c r="O159" s="60" t="str">
        <f t="shared" si="19"/>
        <v/>
      </c>
      <c r="P159" s="60" t="str">
        <f t="shared" si="20"/>
        <v/>
      </c>
      <c r="Q159" s="60" t="str">
        <f t="shared" si="25"/>
        <v/>
      </c>
      <c r="R159" s="57"/>
      <c r="S159" s="58" t="str">
        <f t="shared" si="21"/>
        <v/>
      </c>
      <c r="T159" s="58" t="str">
        <f t="shared" si="22"/>
        <v/>
      </c>
      <c r="U159" s="61" t="str">
        <f t="shared" si="26"/>
        <v/>
      </c>
      <c r="V159" s="58" t="str">
        <f t="shared" si="23"/>
        <v/>
      </c>
      <c r="W159" s="57"/>
    </row>
    <row r="160" spans="1:23" s="59" customFormat="1" x14ac:dyDescent="0.25">
      <c r="A160" s="53"/>
      <c r="B160" s="54" t="str">
        <f>IF($B159="","",IF($B159+1&gt;dropdown!$D$12,"",Schema!B159+1))</f>
        <v/>
      </c>
      <c r="C160" s="55" t="str">
        <f>IF($B159="","",IF($B159+1&gt;dropdown!$D$12,"",EOMONTH(C159,0)+1))</f>
        <v/>
      </c>
      <c r="D160" s="53"/>
      <c r="E160" s="55" t="str">
        <f>IF($B159="","",IF($B159+1&gt;dropdown!$D$12,"",F159+1))</f>
        <v/>
      </c>
      <c r="F160" s="55" t="str">
        <f>IF($B159="","",IF($B159+1&gt;dropdown!$D$12,"",EOMONTH(E160,0)))</f>
        <v/>
      </c>
      <c r="G160" s="56" t="str">
        <f>IF($B159="","",IF($B159+1&gt;dropdown!$D$12,"",(_xlfn.DAYS(F160,E160)+1)/DAY(F160)))</f>
        <v/>
      </c>
      <c r="H160" s="57"/>
      <c r="I160" s="58" t="str">
        <f>IF($B159="","",IF($B159+1&gt;dropdown!$D$12,"",I159-J159))</f>
        <v/>
      </c>
      <c r="J160" s="58" t="str">
        <f>IF($B159="","",IF($B159+1&gt;dropdown!$D$12,"",IF(B159&lt;dropdown!$D$13,0,IF(Aflossingsmethode="Lineair",Aflossingsbedrag,IF(Aflossingsmethode="Annuïteit",IFERROR(Bedrag_annuïteit-K160,0),0)))))</f>
        <v/>
      </c>
      <c r="K160" s="58" t="str">
        <f>IF($B159="","",IF($B159+1&gt;dropdown!$D$12,"",G160*I160*Rentekosten))</f>
        <v/>
      </c>
      <c r="L160" s="58" t="str">
        <f t="shared" si="24"/>
        <v/>
      </c>
      <c r="M160" s="58" t="str">
        <f t="shared" si="18"/>
        <v/>
      </c>
      <c r="N160" s="57"/>
      <c r="O160" s="60" t="str">
        <f t="shared" si="19"/>
        <v/>
      </c>
      <c r="P160" s="60" t="str">
        <f t="shared" si="20"/>
        <v/>
      </c>
      <c r="Q160" s="60" t="str">
        <f t="shared" si="25"/>
        <v/>
      </c>
      <c r="R160" s="57"/>
      <c r="S160" s="58" t="str">
        <f t="shared" si="21"/>
        <v/>
      </c>
      <c r="T160" s="58" t="str">
        <f t="shared" si="22"/>
        <v/>
      </c>
      <c r="U160" s="61" t="str">
        <f t="shared" si="26"/>
        <v/>
      </c>
      <c r="V160" s="58" t="str">
        <f t="shared" si="23"/>
        <v/>
      </c>
      <c r="W160" s="57"/>
    </row>
    <row r="161" spans="1:23" s="59" customFormat="1" x14ac:dyDescent="0.25">
      <c r="A161" s="53"/>
      <c r="B161" s="54" t="str">
        <f>IF($B160="","",IF($B160+1&gt;dropdown!$D$12,"",Schema!B160+1))</f>
        <v/>
      </c>
      <c r="C161" s="55" t="str">
        <f>IF($B160="","",IF($B160+1&gt;dropdown!$D$12,"",EOMONTH(C160,0)+1))</f>
        <v/>
      </c>
      <c r="D161" s="53"/>
      <c r="E161" s="55" t="str">
        <f>IF($B160="","",IF($B160+1&gt;dropdown!$D$12,"",F160+1))</f>
        <v/>
      </c>
      <c r="F161" s="55" t="str">
        <f>IF($B160="","",IF($B160+1&gt;dropdown!$D$12,"",EOMONTH(E161,0)))</f>
        <v/>
      </c>
      <c r="G161" s="56" t="str">
        <f>IF($B160="","",IF($B160+1&gt;dropdown!$D$12,"",(_xlfn.DAYS(F161,E161)+1)/DAY(F161)))</f>
        <v/>
      </c>
      <c r="H161" s="57"/>
      <c r="I161" s="58" t="str">
        <f>IF($B160="","",IF($B160+1&gt;dropdown!$D$12,"",I160-J160))</f>
        <v/>
      </c>
      <c r="J161" s="58" t="str">
        <f>IF($B160="","",IF($B160+1&gt;dropdown!$D$12,"",IF(B160&lt;dropdown!$D$13,0,IF(Aflossingsmethode="Lineair",Aflossingsbedrag,IF(Aflossingsmethode="Annuïteit",IFERROR(Bedrag_annuïteit-K161,0),0)))))</f>
        <v/>
      </c>
      <c r="K161" s="58" t="str">
        <f>IF($B160="","",IF($B160+1&gt;dropdown!$D$12,"",G161*I161*Rentekosten))</f>
        <v/>
      </c>
      <c r="L161" s="58" t="str">
        <f t="shared" si="24"/>
        <v/>
      </c>
      <c r="M161" s="58" t="str">
        <f t="shared" si="18"/>
        <v/>
      </c>
      <c r="N161" s="57"/>
      <c r="O161" s="60" t="str">
        <f t="shared" si="19"/>
        <v/>
      </c>
      <c r="P161" s="60" t="str">
        <f t="shared" si="20"/>
        <v/>
      </c>
      <c r="Q161" s="60" t="str">
        <f t="shared" si="25"/>
        <v/>
      </c>
      <c r="R161" s="57"/>
      <c r="S161" s="58" t="str">
        <f t="shared" si="21"/>
        <v/>
      </c>
      <c r="T161" s="58" t="str">
        <f t="shared" si="22"/>
        <v/>
      </c>
      <c r="U161" s="61" t="str">
        <f t="shared" si="26"/>
        <v/>
      </c>
      <c r="V161" s="58" t="str">
        <f t="shared" si="23"/>
        <v/>
      </c>
      <c r="W161" s="57"/>
    </row>
    <row r="162" spans="1:23" s="59" customFormat="1" x14ac:dyDescent="0.25">
      <c r="A162" s="53"/>
      <c r="B162" s="54" t="str">
        <f>IF($B161="","",IF($B161+1&gt;dropdown!$D$12,"",Schema!B161+1))</f>
        <v/>
      </c>
      <c r="C162" s="55" t="str">
        <f>IF($B161="","",IF($B161+1&gt;dropdown!$D$12,"",EOMONTH(C161,0)+1))</f>
        <v/>
      </c>
      <c r="D162" s="53"/>
      <c r="E162" s="55" t="str">
        <f>IF($B161="","",IF($B161+1&gt;dropdown!$D$12,"",F161+1))</f>
        <v/>
      </c>
      <c r="F162" s="55" t="str">
        <f>IF($B161="","",IF($B161+1&gt;dropdown!$D$12,"",EOMONTH(E162,0)))</f>
        <v/>
      </c>
      <c r="G162" s="56" t="str">
        <f>IF($B161="","",IF($B161+1&gt;dropdown!$D$12,"",(_xlfn.DAYS(F162,E162)+1)/DAY(F162)))</f>
        <v/>
      </c>
      <c r="H162" s="57"/>
      <c r="I162" s="58" t="str">
        <f>IF($B161="","",IF($B161+1&gt;dropdown!$D$12,"",I161-J161))</f>
        <v/>
      </c>
      <c r="J162" s="58" t="str">
        <f>IF($B161="","",IF($B161+1&gt;dropdown!$D$12,"",IF(B161&lt;dropdown!$D$13,0,IF(Aflossingsmethode="Lineair",Aflossingsbedrag,IF(Aflossingsmethode="Annuïteit",IFERROR(Bedrag_annuïteit-K162,0),0)))))</f>
        <v/>
      </c>
      <c r="K162" s="58" t="str">
        <f>IF($B161="","",IF($B161+1&gt;dropdown!$D$12,"",G162*I162*Rentekosten))</f>
        <v/>
      </c>
      <c r="L162" s="58" t="str">
        <f t="shared" si="24"/>
        <v/>
      </c>
      <c r="M162" s="58" t="str">
        <f t="shared" si="18"/>
        <v/>
      </c>
      <c r="N162" s="57"/>
      <c r="O162" s="60" t="str">
        <f t="shared" si="19"/>
        <v/>
      </c>
      <c r="P162" s="60" t="str">
        <f t="shared" si="20"/>
        <v/>
      </c>
      <c r="Q162" s="60" t="str">
        <f t="shared" si="25"/>
        <v/>
      </c>
      <c r="R162" s="57"/>
      <c r="S162" s="58" t="str">
        <f t="shared" si="21"/>
        <v/>
      </c>
      <c r="T162" s="58" t="str">
        <f t="shared" si="22"/>
        <v/>
      </c>
      <c r="U162" s="61" t="str">
        <f t="shared" si="26"/>
        <v/>
      </c>
      <c r="V162" s="58" t="str">
        <f t="shared" si="23"/>
        <v/>
      </c>
      <c r="W162" s="57"/>
    </row>
    <row r="163" spans="1:23" s="59" customFormat="1" x14ac:dyDescent="0.25">
      <c r="A163" s="53"/>
      <c r="B163" s="54" t="str">
        <f>IF($B162="","",IF($B162+1&gt;dropdown!$D$12,"",Schema!B162+1))</f>
        <v/>
      </c>
      <c r="C163" s="55" t="str">
        <f>IF($B162="","",IF($B162+1&gt;dropdown!$D$12,"",EOMONTH(C162,0)+1))</f>
        <v/>
      </c>
      <c r="D163" s="53"/>
      <c r="E163" s="55" t="str">
        <f>IF($B162="","",IF($B162+1&gt;dropdown!$D$12,"",F162+1))</f>
        <v/>
      </c>
      <c r="F163" s="55" t="str">
        <f>IF($B162="","",IF($B162+1&gt;dropdown!$D$12,"",EOMONTH(E163,0)))</f>
        <v/>
      </c>
      <c r="G163" s="56" t="str">
        <f>IF($B162="","",IF($B162+1&gt;dropdown!$D$12,"",(_xlfn.DAYS(F163,E163)+1)/DAY(F163)))</f>
        <v/>
      </c>
      <c r="H163" s="57"/>
      <c r="I163" s="58" t="str">
        <f>IF($B162="","",IF($B162+1&gt;dropdown!$D$12,"",I162-J162))</f>
        <v/>
      </c>
      <c r="J163" s="58" t="str">
        <f>IF($B162="","",IF($B162+1&gt;dropdown!$D$12,"",IF(B162&lt;dropdown!$D$13,0,IF(Aflossingsmethode="Lineair",Aflossingsbedrag,IF(Aflossingsmethode="Annuïteit",IFERROR(Bedrag_annuïteit-K163,0),0)))))</f>
        <v/>
      </c>
      <c r="K163" s="58" t="str">
        <f>IF($B162="","",IF($B162+1&gt;dropdown!$D$12,"",G163*I163*Rentekosten))</f>
        <v/>
      </c>
      <c r="L163" s="58" t="str">
        <f t="shared" si="24"/>
        <v/>
      </c>
      <c r="M163" s="58" t="str">
        <f t="shared" si="18"/>
        <v/>
      </c>
      <c r="N163" s="57"/>
      <c r="O163" s="60" t="str">
        <f t="shared" si="19"/>
        <v/>
      </c>
      <c r="P163" s="60" t="str">
        <f t="shared" si="20"/>
        <v/>
      </c>
      <c r="Q163" s="60" t="str">
        <f t="shared" si="25"/>
        <v/>
      </c>
      <c r="R163" s="57"/>
      <c r="S163" s="58" t="str">
        <f t="shared" si="21"/>
        <v/>
      </c>
      <c r="T163" s="58" t="str">
        <f t="shared" si="22"/>
        <v/>
      </c>
      <c r="U163" s="61" t="str">
        <f t="shared" si="26"/>
        <v/>
      </c>
      <c r="V163" s="58" t="str">
        <f t="shared" si="23"/>
        <v/>
      </c>
      <c r="W163" s="57"/>
    </row>
    <row r="164" spans="1:23" s="59" customFormat="1" x14ac:dyDescent="0.25">
      <c r="A164" s="53"/>
      <c r="B164" s="54" t="str">
        <f>IF($B163="","",IF($B163+1&gt;dropdown!$D$12,"",Schema!B163+1))</f>
        <v/>
      </c>
      <c r="C164" s="55" t="str">
        <f>IF($B163="","",IF($B163+1&gt;dropdown!$D$12,"",EOMONTH(C163,0)+1))</f>
        <v/>
      </c>
      <c r="D164" s="53"/>
      <c r="E164" s="55" t="str">
        <f>IF($B163="","",IF($B163+1&gt;dropdown!$D$12,"",F163+1))</f>
        <v/>
      </c>
      <c r="F164" s="55" t="str">
        <f>IF($B163="","",IF($B163+1&gt;dropdown!$D$12,"",EOMONTH(E164,0)))</f>
        <v/>
      </c>
      <c r="G164" s="56" t="str">
        <f>IF($B163="","",IF($B163+1&gt;dropdown!$D$12,"",(_xlfn.DAYS(F164,E164)+1)/DAY(F164)))</f>
        <v/>
      </c>
      <c r="H164" s="57"/>
      <c r="I164" s="58" t="str">
        <f>IF($B163="","",IF($B163+1&gt;dropdown!$D$12,"",I163-J163))</f>
        <v/>
      </c>
      <c r="J164" s="58" t="str">
        <f>IF($B163="","",IF($B163+1&gt;dropdown!$D$12,"",IF(B163&lt;dropdown!$D$13,0,IF(Aflossingsmethode="Lineair",Aflossingsbedrag,IF(Aflossingsmethode="Annuïteit",IFERROR(Bedrag_annuïteit-K164,0),0)))))</f>
        <v/>
      </c>
      <c r="K164" s="58" t="str">
        <f>IF($B163="","",IF($B163+1&gt;dropdown!$D$12,"",G164*I164*Rentekosten))</f>
        <v/>
      </c>
      <c r="L164" s="58" t="str">
        <f t="shared" si="24"/>
        <v/>
      </c>
      <c r="M164" s="58" t="str">
        <f t="shared" si="18"/>
        <v/>
      </c>
      <c r="N164" s="57"/>
      <c r="O164" s="60" t="str">
        <f t="shared" si="19"/>
        <v/>
      </c>
      <c r="P164" s="60" t="str">
        <f t="shared" si="20"/>
        <v/>
      </c>
      <c r="Q164" s="60" t="str">
        <f t="shared" si="25"/>
        <v/>
      </c>
      <c r="R164" s="57"/>
      <c r="S164" s="58" t="str">
        <f t="shared" si="21"/>
        <v/>
      </c>
      <c r="T164" s="58" t="str">
        <f t="shared" si="22"/>
        <v/>
      </c>
      <c r="U164" s="61" t="str">
        <f t="shared" si="26"/>
        <v/>
      </c>
      <c r="V164" s="58" t="str">
        <f t="shared" si="23"/>
        <v/>
      </c>
      <c r="W164" s="57"/>
    </row>
    <row r="165" spans="1:23" s="59" customFormat="1" x14ac:dyDescent="0.25">
      <c r="A165" s="53"/>
      <c r="B165" s="54" t="str">
        <f>IF($B164="","",IF($B164+1&gt;dropdown!$D$12,"",Schema!B164+1))</f>
        <v/>
      </c>
      <c r="C165" s="55" t="str">
        <f>IF($B164="","",IF($B164+1&gt;dropdown!$D$12,"",EOMONTH(C164,0)+1))</f>
        <v/>
      </c>
      <c r="D165" s="53"/>
      <c r="E165" s="55" t="str">
        <f>IF($B164="","",IF($B164+1&gt;dropdown!$D$12,"",F164+1))</f>
        <v/>
      </c>
      <c r="F165" s="55" t="str">
        <f>IF($B164="","",IF($B164+1&gt;dropdown!$D$12,"",EOMONTH(E165,0)))</f>
        <v/>
      </c>
      <c r="G165" s="56" t="str">
        <f>IF($B164="","",IF($B164+1&gt;dropdown!$D$12,"",(_xlfn.DAYS(F165,E165)+1)/DAY(F165)))</f>
        <v/>
      </c>
      <c r="H165" s="57"/>
      <c r="I165" s="58" t="str">
        <f>IF($B164="","",IF($B164+1&gt;dropdown!$D$12,"",I164-J164))</f>
        <v/>
      </c>
      <c r="J165" s="58" t="str">
        <f>IF($B164="","",IF($B164+1&gt;dropdown!$D$12,"",IF(B164&lt;dropdown!$D$13,0,IF(Aflossingsmethode="Lineair",Aflossingsbedrag,IF(Aflossingsmethode="Annuïteit",IFERROR(Bedrag_annuïteit-K165,0),0)))))</f>
        <v/>
      </c>
      <c r="K165" s="58" t="str">
        <f>IF($B164="","",IF($B164+1&gt;dropdown!$D$12,"",G165*I165*Rentekosten))</f>
        <v/>
      </c>
      <c r="L165" s="58" t="str">
        <f t="shared" si="24"/>
        <v/>
      </c>
      <c r="M165" s="58" t="str">
        <f t="shared" si="18"/>
        <v/>
      </c>
      <c r="N165" s="57"/>
      <c r="O165" s="60" t="str">
        <f t="shared" si="19"/>
        <v/>
      </c>
      <c r="P165" s="60" t="str">
        <f t="shared" si="20"/>
        <v/>
      </c>
      <c r="Q165" s="60" t="str">
        <f t="shared" si="25"/>
        <v/>
      </c>
      <c r="R165" s="57"/>
      <c r="S165" s="58" t="str">
        <f t="shared" si="21"/>
        <v/>
      </c>
      <c r="T165" s="58" t="str">
        <f t="shared" si="22"/>
        <v/>
      </c>
      <c r="U165" s="61" t="str">
        <f t="shared" si="26"/>
        <v/>
      </c>
      <c r="V165" s="58" t="str">
        <f t="shared" si="23"/>
        <v/>
      </c>
      <c r="W165" s="57"/>
    </row>
    <row r="166" spans="1:23" s="59" customFormat="1" x14ac:dyDescent="0.25">
      <c r="A166" s="53"/>
      <c r="B166" s="54" t="str">
        <f>IF($B165="","",IF($B165+1&gt;dropdown!$D$12,"",Schema!B165+1))</f>
        <v/>
      </c>
      <c r="C166" s="55" t="str">
        <f>IF($B165="","",IF($B165+1&gt;dropdown!$D$12,"",EOMONTH(C165,0)+1))</f>
        <v/>
      </c>
      <c r="D166" s="53"/>
      <c r="E166" s="55" t="str">
        <f>IF($B165="","",IF($B165+1&gt;dropdown!$D$12,"",F165+1))</f>
        <v/>
      </c>
      <c r="F166" s="55" t="str">
        <f>IF($B165="","",IF($B165+1&gt;dropdown!$D$12,"",EOMONTH(E166,0)))</f>
        <v/>
      </c>
      <c r="G166" s="56" t="str">
        <f>IF($B165="","",IF($B165+1&gt;dropdown!$D$12,"",(_xlfn.DAYS(F166,E166)+1)/DAY(F166)))</f>
        <v/>
      </c>
      <c r="H166" s="57"/>
      <c r="I166" s="58" t="str">
        <f>IF($B165="","",IF($B165+1&gt;dropdown!$D$12,"",I165-J165))</f>
        <v/>
      </c>
      <c r="J166" s="58" t="str">
        <f>IF($B165="","",IF($B165+1&gt;dropdown!$D$12,"",IF(B165&lt;dropdown!$D$13,0,IF(Aflossingsmethode="Lineair",Aflossingsbedrag,IF(Aflossingsmethode="Annuïteit",IFERROR(Bedrag_annuïteit-K166,0),0)))))</f>
        <v/>
      </c>
      <c r="K166" s="58" t="str">
        <f>IF($B165="","",IF($B165+1&gt;dropdown!$D$12,"",G166*I166*Rentekosten))</f>
        <v/>
      </c>
      <c r="L166" s="58" t="str">
        <f t="shared" si="24"/>
        <v/>
      </c>
      <c r="M166" s="58" t="str">
        <f t="shared" si="18"/>
        <v/>
      </c>
      <c r="N166" s="57"/>
      <c r="O166" s="60" t="str">
        <f t="shared" si="19"/>
        <v/>
      </c>
      <c r="P166" s="60" t="str">
        <f t="shared" si="20"/>
        <v/>
      </c>
      <c r="Q166" s="60" t="str">
        <f t="shared" si="25"/>
        <v/>
      </c>
      <c r="R166" s="57"/>
      <c r="S166" s="58" t="str">
        <f t="shared" si="21"/>
        <v/>
      </c>
      <c r="T166" s="58" t="str">
        <f t="shared" si="22"/>
        <v/>
      </c>
      <c r="U166" s="61" t="str">
        <f t="shared" si="26"/>
        <v/>
      </c>
      <c r="V166" s="58" t="str">
        <f t="shared" si="23"/>
        <v/>
      </c>
      <c r="W166" s="57"/>
    </row>
    <row r="167" spans="1:23" s="59" customFormat="1" x14ac:dyDescent="0.25">
      <c r="A167" s="53"/>
      <c r="B167" s="54" t="str">
        <f>IF($B166="","",IF($B166+1&gt;dropdown!$D$12,"",Schema!B166+1))</f>
        <v/>
      </c>
      <c r="C167" s="55" t="str">
        <f>IF($B166="","",IF($B166+1&gt;dropdown!$D$12,"",EOMONTH(C166,0)+1))</f>
        <v/>
      </c>
      <c r="D167" s="53"/>
      <c r="E167" s="55" t="str">
        <f>IF($B166="","",IF($B166+1&gt;dropdown!$D$12,"",F166+1))</f>
        <v/>
      </c>
      <c r="F167" s="55" t="str">
        <f>IF($B166="","",IF($B166+1&gt;dropdown!$D$12,"",EOMONTH(E167,0)))</f>
        <v/>
      </c>
      <c r="G167" s="56" t="str">
        <f>IF($B166="","",IF($B166+1&gt;dropdown!$D$12,"",(_xlfn.DAYS(F167,E167)+1)/DAY(F167)))</f>
        <v/>
      </c>
      <c r="H167" s="57"/>
      <c r="I167" s="58" t="str">
        <f>IF($B166="","",IF($B166+1&gt;dropdown!$D$12,"",I166-J166))</f>
        <v/>
      </c>
      <c r="J167" s="58" t="str">
        <f>IF($B166="","",IF($B166+1&gt;dropdown!$D$12,"",IF(B166&lt;dropdown!$D$13,0,IF(Aflossingsmethode="Lineair",Aflossingsbedrag,IF(Aflossingsmethode="Annuïteit",IFERROR(Bedrag_annuïteit-K167,0),0)))))</f>
        <v/>
      </c>
      <c r="K167" s="58" t="str">
        <f>IF($B166="","",IF($B166+1&gt;dropdown!$D$12,"",G167*I167*Rentekosten))</f>
        <v/>
      </c>
      <c r="L167" s="58" t="str">
        <f t="shared" si="24"/>
        <v/>
      </c>
      <c r="M167" s="58" t="str">
        <f t="shared" si="18"/>
        <v/>
      </c>
      <c r="N167" s="57"/>
      <c r="O167" s="60" t="str">
        <f t="shared" si="19"/>
        <v/>
      </c>
      <c r="P167" s="60" t="str">
        <f t="shared" si="20"/>
        <v/>
      </c>
      <c r="Q167" s="60" t="str">
        <f t="shared" si="25"/>
        <v/>
      </c>
      <c r="R167" s="57"/>
      <c r="S167" s="58" t="str">
        <f t="shared" si="21"/>
        <v/>
      </c>
      <c r="T167" s="58" t="str">
        <f t="shared" si="22"/>
        <v/>
      </c>
      <c r="U167" s="61" t="str">
        <f t="shared" si="26"/>
        <v/>
      </c>
      <c r="V167" s="58" t="str">
        <f t="shared" si="23"/>
        <v/>
      </c>
      <c r="W167" s="57"/>
    </row>
    <row r="168" spans="1:23" s="59" customFormat="1" x14ac:dyDescent="0.25">
      <c r="A168" s="53"/>
      <c r="B168" s="54" t="str">
        <f>IF($B167="","",IF($B167+1&gt;dropdown!$D$12,"",Schema!B167+1))</f>
        <v/>
      </c>
      <c r="C168" s="55" t="str">
        <f>IF($B167="","",IF($B167+1&gt;dropdown!$D$12,"",EOMONTH(C167,0)+1))</f>
        <v/>
      </c>
      <c r="D168" s="53"/>
      <c r="E168" s="55" t="str">
        <f>IF($B167="","",IF($B167+1&gt;dropdown!$D$12,"",F167+1))</f>
        <v/>
      </c>
      <c r="F168" s="55" t="str">
        <f>IF($B167="","",IF($B167+1&gt;dropdown!$D$12,"",EOMONTH(E168,0)))</f>
        <v/>
      </c>
      <c r="G168" s="56" t="str">
        <f>IF($B167="","",IF($B167+1&gt;dropdown!$D$12,"",(_xlfn.DAYS(F168,E168)+1)/DAY(F168)))</f>
        <v/>
      </c>
      <c r="H168" s="57"/>
      <c r="I168" s="58" t="str">
        <f>IF($B167="","",IF($B167+1&gt;dropdown!$D$12,"",I167-J167))</f>
        <v/>
      </c>
      <c r="J168" s="58" t="str">
        <f>IF($B167="","",IF($B167+1&gt;dropdown!$D$12,"",IF(B167&lt;dropdown!$D$13,0,IF(Aflossingsmethode="Lineair",Aflossingsbedrag,IF(Aflossingsmethode="Annuïteit",IFERROR(Bedrag_annuïteit-K168,0),0)))))</f>
        <v/>
      </c>
      <c r="K168" s="58" t="str">
        <f>IF($B167="","",IF($B167+1&gt;dropdown!$D$12,"",G168*I168*Rentekosten))</f>
        <v/>
      </c>
      <c r="L168" s="58" t="str">
        <f t="shared" si="24"/>
        <v/>
      </c>
      <c r="M168" s="58" t="str">
        <f t="shared" si="18"/>
        <v/>
      </c>
      <c r="N168" s="57"/>
      <c r="O168" s="60" t="str">
        <f t="shared" si="19"/>
        <v/>
      </c>
      <c r="P168" s="60" t="str">
        <f t="shared" si="20"/>
        <v/>
      </c>
      <c r="Q168" s="60" t="str">
        <f t="shared" si="25"/>
        <v/>
      </c>
      <c r="R168" s="57"/>
      <c r="S168" s="58" t="str">
        <f t="shared" si="21"/>
        <v/>
      </c>
      <c r="T168" s="58" t="str">
        <f t="shared" si="22"/>
        <v/>
      </c>
      <c r="U168" s="61" t="str">
        <f t="shared" si="26"/>
        <v/>
      </c>
      <c r="V168" s="58" t="str">
        <f t="shared" si="23"/>
        <v/>
      </c>
      <c r="W168" s="57"/>
    </row>
    <row r="169" spans="1:23" s="59" customFormat="1" x14ac:dyDescent="0.25">
      <c r="A169" s="53"/>
      <c r="B169" s="54" t="str">
        <f>IF($B168="","",IF($B168+1&gt;dropdown!$D$12,"",Schema!B168+1))</f>
        <v/>
      </c>
      <c r="C169" s="55" t="str">
        <f>IF($B168="","",IF($B168+1&gt;dropdown!$D$12,"",EOMONTH(C168,0)+1))</f>
        <v/>
      </c>
      <c r="D169" s="53"/>
      <c r="E169" s="55" t="str">
        <f>IF($B168="","",IF($B168+1&gt;dropdown!$D$12,"",F168+1))</f>
        <v/>
      </c>
      <c r="F169" s="55" t="str">
        <f>IF($B168="","",IF($B168+1&gt;dropdown!$D$12,"",EOMONTH(E169,0)))</f>
        <v/>
      </c>
      <c r="G169" s="56" t="str">
        <f>IF($B168="","",IF($B168+1&gt;dropdown!$D$12,"",(_xlfn.DAYS(F169,E169)+1)/DAY(F169)))</f>
        <v/>
      </c>
      <c r="H169" s="57"/>
      <c r="I169" s="58" t="str">
        <f>IF($B168="","",IF($B168+1&gt;dropdown!$D$12,"",I168-J168))</f>
        <v/>
      </c>
      <c r="J169" s="58" t="str">
        <f>IF($B168="","",IF($B168+1&gt;dropdown!$D$12,"",IF(B168&lt;dropdown!$D$13,0,IF(Aflossingsmethode="Lineair",Aflossingsbedrag,IF(Aflossingsmethode="Annuïteit",IFERROR(Bedrag_annuïteit-K169,0),0)))))</f>
        <v/>
      </c>
      <c r="K169" s="58" t="str">
        <f>IF($B168="","",IF($B168+1&gt;dropdown!$D$12,"",G169*I169*Rentekosten))</f>
        <v/>
      </c>
      <c r="L169" s="58" t="str">
        <f t="shared" si="24"/>
        <v/>
      </c>
      <c r="M169" s="58" t="str">
        <f t="shared" si="18"/>
        <v/>
      </c>
      <c r="N169" s="57"/>
      <c r="O169" s="60" t="str">
        <f t="shared" si="19"/>
        <v/>
      </c>
      <c r="P169" s="60" t="str">
        <f t="shared" si="20"/>
        <v/>
      </c>
      <c r="Q169" s="60" t="str">
        <f t="shared" si="25"/>
        <v/>
      </c>
      <c r="R169" s="57"/>
      <c r="S169" s="58" t="str">
        <f t="shared" si="21"/>
        <v/>
      </c>
      <c r="T169" s="58" t="str">
        <f t="shared" si="22"/>
        <v/>
      </c>
      <c r="U169" s="61" t="str">
        <f t="shared" si="26"/>
        <v/>
      </c>
      <c r="V169" s="58" t="str">
        <f t="shared" si="23"/>
        <v/>
      </c>
      <c r="W169" s="57"/>
    </row>
    <row r="170" spans="1:23" s="59" customFormat="1" x14ac:dyDescent="0.25">
      <c r="A170" s="53"/>
      <c r="B170" s="54" t="str">
        <f>IF($B169="","",IF($B169+1&gt;dropdown!$D$12,"",Schema!B169+1))</f>
        <v/>
      </c>
      <c r="C170" s="55" t="str">
        <f>IF($B169="","",IF($B169+1&gt;dropdown!$D$12,"",EOMONTH(C169,0)+1))</f>
        <v/>
      </c>
      <c r="D170" s="53"/>
      <c r="E170" s="55" t="str">
        <f>IF($B169="","",IF($B169+1&gt;dropdown!$D$12,"",F169+1))</f>
        <v/>
      </c>
      <c r="F170" s="55" t="str">
        <f>IF($B169="","",IF($B169+1&gt;dropdown!$D$12,"",EOMONTH(E170,0)))</f>
        <v/>
      </c>
      <c r="G170" s="56" t="str">
        <f>IF($B169="","",IF($B169+1&gt;dropdown!$D$12,"",(_xlfn.DAYS(F170,E170)+1)/DAY(F170)))</f>
        <v/>
      </c>
      <c r="H170" s="57"/>
      <c r="I170" s="58" t="str">
        <f>IF($B169="","",IF($B169+1&gt;dropdown!$D$12,"",I169-J169))</f>
        <v/>
      </c>
      <c r="J170" s="58" t="str">
        <f>IF($B169="","",IF($B169+1&gt;dropdown!$D$12,"",IF(B169&lt;dropdown!$D$13,0,IF(Aflossingsmethode="Lineair",Aflossingsbedrag,IF(Aflossingsmethode="Annuïteit",IFERROR(Bedrag_annuïteit-K170,0),0)))))</f>
        <v/>
      </c>
      <c r="K170" s="58" t="str">
        <f>IF($B169="","",IF($B169+1&gt;dropdown!$D$12,"",G170*I170*Rentekosten))</f>
        <v/>
      </c>
      <c r="L170" s="58" t="str">
        <f t="shared" si="24"/>
        <v/>
      </c>
      <c r="M170" s="58" t="str">
        <f t="shared" si="18"/>
        <v/>
      </c>
      <c r="N170" s="57"/>
      <c r="O170" s="60" t="str">
        <f t="shared" si="19"/>
        <v/>
      </c>
      <c r="P170" s="60" t="str">
        <f t="shared" si="20"/>
        <v/>
      </c>
      <c r="Q170" s="60" t="str">
        <f t="shared" si="25"/>
        <v/>
      </c>
      <c r="R170" s="57"/>
      <c r="S170" s="58" t="str">
        <f t="shared" si="21"/>
        <v/>
      </c>
      <c r="T170" s="58" t="str">
        <f t="shared" si="22"/>
        <v/>
      </c>
      <c r="U170" s="61" t="str">
        <f t="shared" si="26"/>
        <v/>
      </c>
      <c r="V170" s="58" t="str">
        <f t="shared" si="23"/>
        <v/>
      </c>
      <c r="W170" s="57"/>
    </row>
    <row r="171" spans="1:23" s="59" customFormat="1" x14ac:dyDescent="0.25">
      <c r="A171" s="53"/>
      <c r="B171" s="54" t="str">
        <f>IF($B170="","",IF($B170+1&gt;dropdown!$D$12,"",Schema!B170+1))</f>
        <v/>
      </c>
      <c r="C171" s="55" t="str">
        <f>IF($B170="","",IF($B170+1&gt;dropdown!$D$12,"",EOMONTH(C170,0)+1))</f>
        <v/>
      </c>
      <c r="D171" s="53"/>
      <c r="E171" s="55" t="str">
        <f>IF($B170="","",IF($B170+1&gt;dropdown!$D$12,"",F170+1))</f>
        <v/>
      </c>
      <c r="F171" s="55" t="str">
        <f>IF($B170="","",IF($B170+1&gt;dropdown!$D$12,"",EOMONTH(E171,0)))</f>
        <v/>
      </c>
      <c r="G171" s="56" t="str">
        <f>IF($B170="","",IF($B170+1&gt;dropdown!$D$12,"",(_xlfn.DAYS(F171,E171)+1)/DAY(F171)))</f>
        <v/>
      </c>
      <c r="H171" s="57"/>
      <c r="I171" s="58" t="str">
        <f>IF($B170="","",IF($B170+1&gt;dropdown!$D$12,"",I170-J170))</f>
        <v/>
      </c>
      <c r="J171" s="58" t="str">
        <f>IF($B170="","",IF($B170+1&gt;dropdown!$D$12,"",IF(B170&lt;dropdown!$D$13,0,IF(Aflossingsmethode="Lineair",Aflossingsbedrag,IF(Aflossingsmethode="Annuïteit",IFERROR(Bedrag_annuïteit-K171,0),0)))))</f>
        <v/>
      </c>
      <c r="K171" s="58" t="str">
        <f>IF($B170="","",IF($B170+1&gt;dropdown!$D$12,"",G171*I171*Rentekosten))</f>
        <v/>
      </c>
      <c r="L171" s="58" t="str">
        <f t="shared" si="24"/>
        <v/>
      </c>
      <c r="M171" s="58" t="str">
        <f t="shared" si="18"/>
        <v/>
      </c>
      <c r="N171" s="57"/>
      <c r="O171" s="60" t="str">
        <f t="shared" si="19"/>
        <v/>
      </c>
      <c r="P171" s="60" t="str">
        <f t="shared" si="20"/>
        <v/>
      </c>
      <c r="Q171" s="60" t="str">
        <f t="shared" si="25"/>
        <v/>
      </c>
      <c r="R171" s="57"/>
      <c r="S171" s="58" t="str">
        <f t="shared" si="21"/>
        <v/>
      </c>
      <c r="T171" s="58" t="str">
        <f t="shared" si="22"/>
        <v/>
      </c>
      <c r="U171" s="61" t="str">
        <f t="shared" si="26"/>
        <v/>
      </c>
      <c r="V171" s="58" t="str">
        <f t="shared" si="23"/>
        <v/>
      </c>
      <c r="W171" s="57"/>
    </row>
    <row r="172" spans="1:23" s="59" customFormat="1" x14ac:dyDescent="0.25">
      <c r="A172" s="53"/>
      <c r="B172" s="54" t="str">
        <f>IF($B171="","",IF($B171+1&gt;dropdown!$D$12,"",Schema!B171+1))</f>
        <v/>
      </c>
      <c r="C172" s="55" t="str">
        <f>IF($B171="","",IF($B171+1&gt;dropdown!$D$12,"",EOMONTH(C171,0)+1))</f>
        <v/>
      </c>
      <c r="D172" s="53"/>
      <c r="E172" s="55" t="str">
        <f>IF($B171="","",IF($B171+1&gt;dropdown!$D$12,"",F171+1))</f>
        <v/>
      </c>
      <c r="F172" s="55" t="str">
        <f>IF($B171="","",IF($B171+1&gt;dropdown!$D$12,"",EOMONTH(E172,0)))</f>
        <v/>
      </c>
      <c r="G172" s="56" t="str">
        <f>IF($B171="","",IF($B171+1&gt;dropdown!$D$12,"",(_xlfn.DAYS(F172,E172)+1)/DAY(F172)))</f>
        <v/>
      </c>
      <c r="H172" s="57"/>
      <c r="I172" s="58" t="str">
        <f>IF($B171="","",IF($B171+1&gt;dropdown!$D$12,"",I171-J171))</f>
        <v/>
      </c>
      <c r="J172" s="58" t="str">
        <f>IF($B171="","",IF($B171+1&gt;dropdown!$D$12,"",IF(B171&lt;dropdown!$D$13,0,IF(Aflossingsmethode="Lineair",Aflossingsbedrag,IF(Aflossingsmethode="Annuïteit",IFERROR(Bedrag_annuïteit-K172,0),0)))))</f>
        <v/>
      </c>
      <c r="K172" s="58" t="str">
        <f>IF($B171="","",IF($B171+1&gt;dropdown!$D$12,"",G172*I172*Rentekosten))</f>
        <v/>
      </c>
      <c r="L172" s="58" t="str">
        <f t="shared" si="24"/>
        <v/>
      </c>
      <c r="M172" s="58" t="str">
        <f t="shared" si="18"/>
        <v/>
      </c>
      <c r="N172" s="57"/>
      <c r="O172" s="60" t="str">
        <f t="shared" si="19"/>
        <v/>
      </c>
      <c r="P172" s="60" t="str">
        <f t="shared" si="20"/>
        <v/>
      </c>
      <c r="Q172" s="60" t="str">
        <f t="shared" si="25"/>
        <v/>
      </c>
      <c r="R172" s="57"/>
      <c r="S172" s="58" t="str">
        <f t="shared" si="21"/>
        <v/>
      </c>
      <c r="T172" s="58" t="str">
        <f t="shared" si="22"/>
        <v/>
      </c>
      <c r="U172" s="61" t="str">
        <f t="shared" si="26"/>
        <v/>
      </c>
      <c r="V172" s="58" t="str">
        <f t="shared" si="23"/>
        <v/>
      </c>
      <c r="W172" s="57"/>
    </row>
    <row r="173" spans="1:23" s="59" customFormat="1" x14ac:dyDescent="0.25">
      <c r="A173" s="53"/>
      <c r="B173" s="54" t="str">
        <f>IF($B172="","",IF($B172+1&gt;dropdown!$D$12,"",Schema!B172+1))</f>
        <v/>
      </c>
      <c r="C173" s="55" t="str">
        <f>IF($B172="","",IF($B172+1&gt;dropdown!$D$12,"",EOMONTH(C172,0)+1))</f>
        <v/>
      </c>
      <c r="D173" s="53"/>
      <c r="E173" s="55" t="str">
        <f>IF($B172="","",IF($B172+1&gt;dropdown!$D$12,"",F172+1))</f>
        <v/>
      </c>
      <c r="F173" s="55" t="str">
        <f>IF($B172="","",IF($B172+1&gt;dropdown!$D$12,"",EOMONTH(E173,0)))</f>
        <v/>
      </c>
      <c r="G173" s="56" t="str">
        <f>IF($B172="","",IF($B172+1&gt;dropdown!$D$12,"",(_xlfn.DAYS(F173,E173)+1)/DAY(F173)))</f>
        <v/>
      </c>
      <c r="H173" s="57"/>
      <c r="I173" s="58" t="str">
        <f>IF($B172="","",IF($B172+1&gt;dropdown!$D$12,"",I172-J172))</f>
        <v/>
      </c>
      <c r="J173" s="58" t="str">
        <f>IF($B172="","",IF($B172+1&gt;dropdown!$D$12,"",IF(B172&lt;dropdown!$D$13,0,IF(Aflossingsmethode="Lineair",Aflossingsbedrag,IF(Aflossingsmethode="Annuïteit",IFERROR(Bedrag_annuïteit-K173,0),0)))))</f>
        <v/>
      </c>
      <c r="K173" s="58" t="str">
        <f>IF($B172="","",IF($B172+1&gt;dropdown!$D$12,"",G173*I173*Rentekosten))</f>
        <v/>
      </c>
      <c r="L173" s="58" t="str">
        <f t="shared" si="24"/>
        <v/>
      </c>
      <c r="M173" s="58" t="str">
        <f t="shared" si="18"/>
        <v/>
      </c>
      <c r="N173" s="57"/>
      <c r="O173" s="60" t="str">
        <f t="shared" si="19"/>
        <v/>
      </c>
      <c r="P173" s="60" t="str">
        <f t="shared" si="20"/>
        <v/>
      </c>
      <c r="Q173" s="60" t="str">
        <f t="shared" si="25"/>
        <v/>
      </c>
      <c r="R173" s="57"/>
      <c r="S173" s="58" t="str">
        <f t="shared" si="21"/>
        <v/>
      </c>
      <c r="T173" s="58" t="str">
        <f t="shared" si="22"/>
        <v/>
      </c>
      <c r="U173" s="61" t="str">
        <f t="shared" si="26"/>
        <v/>
      </c>
      <c r="V173" s="58" t="str">
        <f t="shared" si="23"/>
        <v/>
      </c>
      <c r="W173" s="57"/>
    </row>
    <row r="174" spans="1:23" s="59" customFormat="1" x14ac:dyDescent="0.25">
      <c r="A174" s="53"/>
      <c r="B174" s="54" t="str">
        <f>IF($B173="","",IF($B173+1&gt;dropdown!$D$12,"",Schema!B173+1))</f>
        <v/>
      </c>
      <c r="C174" s="55" t="str">
        <f>IF($B173="","",IF($B173+1&gt;dropdown!$D$12,"",EOMONTH(C173,0)+1))</f>
        <v/>
      </c>
      <c r="D174" s="53"/>
      <c r="E174" s="55" t="str">
        <f>IF($B173="","",IF($B173+1&gt;dropdown!$D$12,"",F173+1))</f>
        <v/>
      </c>
      <c r="F174" s="55" t="str">
        <f>IF($B173="","",IF($B173+1&gt;dropdown!$D$12,"",EOMONTH(E174,0)))</f>
        <v/>
      </c>
      <c r="G174" s="56" t="str">
        <f>IF($B173="","",IF($B173+1&gt;dropdown!$D$12,"",(_xlfn.DAYS(F174,E174)+1)/DAY(F174)))</f>
        <v/>
      </c>
      <c r="H174" s="57"/>
      <c r="I174" s="58" t="str">
        <f>IF($B173="","",IF($B173+1&gt;dropdown!$D$12,"",I173-J173))</f>
        <v/>
      </c>
      <c r="J174" s="58" t="str">
        <f>IF($B173="","",IF($B173+1&gt;dropdown!$D$12,"",IF(B173&lt;dropdown!$D$13,0,IF(Aflossingsmethode="Lineair",Aflossingsbedrag,IF(Aflossingsmethode="Annuïteit",IFERROR(Bedrag_annuïteit-K174,0),0)))))</f>
        <v/>
      </c>
      <c r="K174" s="58" t="str">
        <f>IF($B173="","",IF($B173+1&gt;dropdown!$D$12,"",G174*I174*Rentekosten))</f>
        <v/>
      </c>
      <c r="L174" s="58" t="str">
        <f t="shared" si="24"/>
        <v/>
      </c>
      <c r="M174" s="58" t="str">
        <f t="shared" si="18"/>
        <v/>
      </c>
      <c r="N174" s="57"/>
      <c r="O174" s="60" t="str">
        <f t="shared" si="19"/>
        <v/>
      </c>
      <c r="P174" s="60" t="str">
        <f t="shared" si="20"/>
        <v/>
      </c>
      <c r="Q174" s="60" t="str">
        <f t="shared" si="25"/>
        <v/>
      </c>
      <c r="R174" s="57"/>
      <c r="S174" s="58" t="str">
        <f t="shared" si="21"/>
        <v/>
      </c>
      <c r="T174" s="58" t="str">
        <f t="shared" si="22"/>
        <v/>
      </c>
      <c r="U174" s="61" t="str">
        <f t="shared" si="26"/>
        <v/>
      </c>
      <c r="V174" s="58" t="str">
        <f t="shared" si="23"/>
        <v/>
      </c>
      <c r="W174" s="57"/>
    </row>
    <row r="175" spans="1:23" s="59" customFormat="1" x14ac:dyDescent="0.25">
      <c r="A175" s="53"/>
      <c r="B175" s="54" t="str">
        <f>IF($B174="","",IF($B174+1&gt;dropdown!$D$12,"",Schema!B174+1))</f>
        <v/>
      </c>
      <c r="C175" s="55" t="str">
        <f>IF($B174="","",IF($B174+1&gt;dropdown!$D$12,"",EOMONTH(C174,0)+1))</f>
        <v/>
      </c>
      <c r="D175" s="53"/>
      <c r="E175" s="55" t="str">
        <f>IF($B174="","",IF($B174+1&gt;dropdown!$D$12,"",F174+1))</f>
        <v/>
      </c>
      <c r="F175" s="55" t="str">
        <f>IF($B174="","",IF($B174+1&gt;dropdown!$D$12,"",EOMONTH(E175,0)))</f>
        <v/>
      </c>
      <c r="G175" s="56" t="str">
        <f>IF($B174="","",IF($B174+1&gt;dropdown!$D$12,"",(_xlfn.DAYS(F175,E175)+1)/DAY(F175)))</f>
        <v/>
      </c>
      <c r="H175" s="57"/>
      <c r="I175" s="58" t="str">
        <f>IF($B174="","",IF($B174+1&gt;dropdown!$D$12,"",I174-J174))</f>
        <v/>
      </c>
      <c r="J175" s="58" t="str">
        <f>IF($B174="","",IF($B174+1&gt;dropdown!$D$12,"",IF(B174&lt;dropdown!$D$13,0,IF(Aflossingsmethode="Lineair",Aflossingsbedrag,IF(Aflossingsmethode="Annuïteit",IFERROR(Bedrag_annuïteit-K175,0),0)))))</f>
        <v/>
      </c>
      <c r="K175" s="58" t="str">
        <f>IF($B174="","",IF($B174+1&gt;dropdown!$D$12,"",G175*I175*Rentekosten))</f>
        <v/>
      </c>
      <c r="L175" s="58" t="str">
        <f t="shared" si="24"/>
        <v/>
      </c>
      <c r="M175" s="58" t="str">
        <f t="shared" si="18"/>
        <v/>
      </c>
      <c r="N175" s="57"/>
      <c r="O175" s="60" t="str">
        <f t="shared" si="19"/>
        <v/>
      </c>
      <c r="P175" s="60" t="str">
        <f t="shared" si="20"/>
        <v/>
      </c>
      <c r="Q175" s="60" t="str">
        <f t="shared" si="25"/>
        <v/>
      </c>
      <c r="R175" s="57"/>
      <c r="S175" s="58" t="str">
        <f t="shared" si="21"/>
        <v/>
      </c>
      <c r="T175" s="58" t="str">
        <f t="shared" si="22"/>
        <v/>
      </c>
      <c r="U175" s="61" t="str">
        <f t="shared" si="26"/>
        <v/>
      </c>
      <c r="V175" s="58" t="str">
        <f t="shared" si="23"/>
        <v/>
      </c>
      <c r="W175" s="57"/>
    </row>
    <row r="176" spans="1:23" s="59" customFormat="1" x14ac:dyDescent="0.25">
      <c r="A176" s="53"/>
      <c r="B176" s="54" t="str">
        <f>IF($B175="","",IF($B175+1&gt;dropdown!$D$12,"",Schema!B175+1))</f>
        <v/>
      </c>
      <c r="C176" s="55" t="str">
        <f>IF($B175="","",IF($B175+1&gt;dropdown!$D$12,"",EOMONTH(C175,0)+1))</f>
        <v/>
      </c>
      <c r="D176" s="53"/>
      <c r="E176" s="55" t="str">
        <f>IF($B175="","",IF($B175+1&gt;dropdown!$D$12,"",F175+1))</f>
        <v/>
      </c>
      <c r="F176" s="55" t="str">
        <f>IF($B175="","",IF($B175+1&gt;dropdown!$D$12,"",EOMONTH(E176,0)))</f>
        <v/>
      </c>
      <c r="G176" s="56" t="str">
        <f>IF($B175="","",IF($B175+1&gt;dropdown!$D$12,"",(_xlfn.DAYS(F176,E176)+1)/DAY(F176)))</f>
        <v/>
      </c>
      <c r="H176" s="57"/>
      <c r="I176" s="58" t="str">
        <f>IF($B175="","",IF($B175+1&gt;dropdown!$D$12,"",I175-J175))</f>
        <v/>
      </c>
      <c r="J176" s="58" t="str">
        <f>IF($B175="","",IF($B175+1&gt;dropdown!$D$12,"",IF(B175&lt;dropdown!$D$13,0,IF(Aflossingsmethode="Lineair",Aflossingsbedrag,IF(Aflossingsmethode="Annuïteit",IFERROR(Bedrag_annuïteit-K176,0),0)))))</f>
        <v/>
      </c>
      <c r="K176" s="58" t="str">
        <f>IF($B175="","",IF($B175+1&gt;dropdown!$D$12,"",G176*I176*Rentekosten))</f>
        <v/>
      </c>
      <c r="L176" s="58" t="str">
        <f t="shared" si="24"/>
        <v/>
      </c>
      <c r="M176" s="58" t="str">
        <f t="shared" si="18"/>
        <v/>
      </c>
      <c r="N176" s="57"/>
      <c r="O176" s="60" t="str">
        <f t="shared" si="19"/>
        <v/>
      </c>
      <c r="P176" s="60" t="str">
        <f t="shared" si="20"/>
        <v/>
      </c>
      <c r="Q176" s="60" t="str">
        <f t="shared" si="25"/>
        <v/>
      </c>
      <c r="R176" s="57"/>
      <c r="S176" s="58" t="str">
        <f t="shared" si="21"/>
        <v/>
      </c>
      <c r="T176" s="58" t="str">
        <f t="shared" si="22"/>
        <v/>
      </c>
      <c r="U176" s="61" t="str">
        <f t="shared" si="26"/>
        <v/>
      </c>
      <c r="V176" s="58" t="str">
        <f t="shared" si="23"/>
        <v/>
      </c>
      <c r="W176" s="57"/>
    </row>
    <row r="177" spans="1:23" s="59" customFormat="1" x14ac:dyDescent="0.25">
      <c r="A177" s="53"/>
      <c r="B177" s="54" t="str">
        <f>IF($B176="","",IF($B176+1&gt;dropdown!$D$12,"",Schema!B176+1))</f>
        <v/>
      </c>
      <c r="C177" s="55" t="str">
        <f>IF($B176="","",IF($B176+1&gt;dropdown!$D$12,"",EOMONTH(C176,0)+1))</f>
        <v/>
      </c>
      <c r="D177" s="53"/>
      <c r="E177" s="55" t="str">
        <f>IF($B176="","",IF($B176+1&gt;dropdown!$D$12,"",F176+1))</f>
        <v/>
      </c>
      <c r="F177" s="55" t="str">
        <f>IF($B176="","",IF($B176+1&gt;dropdown!$D$12,"",EOMONTH(E177,0)))</f>
        <v/>
      </c>
      <c r="G177" s="56" t="str">
        <f>IF($B176="","",IF($B176+1&gt;dropdown!$D$12,"",(_xlfn.DAYS(F177,E177)+1)/DAY(F177)))</f>
        <v/>
      </c>
      <c r="H177" s="57"/>
      <c r="I177" s="58" t="str">
        <f>IF($B176="","",IF($B176+1&gt;dropdown!$D$12,"",I176-J176))</f>
        <v/>
      </c>
      <c r="J177" s="58" t="str">
        <f>IF($B176="","",IF($B176+1&gt;dropdown!$D$12,"",IF(B176&lt;dropdown!$D$13,0,IF(Aflossingsmethode="Lineair",Aflossingsbedrag,IF(Aflossingsmethode="Annuïteit",IFERROR(Bedrag_annuïteit-K177,0),0)))))</f>
        <v/>
      </c>
      <c r="K177" s="58" t="str">
        <f>IF($B176="","",IF($B176+1&gt;dropdown!$D$12,"",G177*I177*Rentekosten))</f>
        <v/>
      </c>
      <c r="L177" s="58" t="str">
        <f t="shared" si="24"/>
        <v/>
      </c>
      <c r="M177" s="58" t="str">
        <f t="shared" si="18"/>
        <v/>
      </c>
      <c r="N177" s="57"/>
      <c r="O177" s="60" t="str">
        <f t="shared" si="19"/>
        <v/>
      </c>
      <c r="P177" s="60" t="str">
        <f t="shared" si="20"/>
        <v/>
      </c>
      <c r="Q177" s="60" t="str">
        <f t="shared" si="25"/>
        <v/>
      </c>
      <c r="R177" s="57"/>
      <c r="S177" s="58" t="str">
        <f t="shared" si="21"/>
        <v/>
      </c>
      <c r="T177" s="58" t="str">
        <f t="shared" si="22"/>
        <v/>
      </c>
      <c r="U177" s="61" t="str">
        <f t="shared" si="26"/>
        <v/>
      </c>
      <c r="V177" s="58" t="str">
        <f t="shared" si="23"/>
        <v/>
      </c>
      <c r="W177" s="57"/>
    </row>
    <row r="178" spans="1:23" s="59" customFormat="1" x14ac:dyDescent="0.25">
      <c r="A178" s="53"/>
      <c r="B178" s="54" t="str">
        <f>IF($B177="","",IF($B177+1&gt;dropdown!$D$12,"",Schema!B177+1))</f>
        <v/>
      </c>
      <c r="C178" s="55" t="str">
        <f>IF($B177="","",IF($B177+1&gt;dropdown!$D$12,"",EOMONTH(C177,0)+1))</f>
        <v/>
      </c>
      <c r="D178" s="53"/>
      <c r="E178" s="55" t="str">
        <f>IF($B177="","",IF($B177+1&gt;dropdown!$D$12,"",F177+1))</f>
        <v/>
      </c>
      <c r="F178" s="55" t="str">
        <f>IF($B177="","",IF($B177+1&gt;dropdown!$D$12,"",EOMONTH(E178,0)))</f>
        <v/>
      </c>
      <c r="G178" s="56" t="str">
        <f>IF($B177="","",IF($B177+1&gt;dropdown!$D$12,"",(_xlfn.DAYS(F178,E178)+1)/DAY(F178)))</f>
        <v/>
      </c>
      <c r="H178" s="57"/>
      <c r="I178" s="58" t="str">
        <f>IF($B177="","",IF($B177+1&gt;dropdown!$D$12,"",I177-J177))</f>
        <v/>
      </c>
      <c r="J178" s="58" t="str">
        <f>IF($B177="","",IF($B177+1&gt;dropdown!$D$12,"",IF(B177&lt;dropdown!$D$13,0,IF(Aflossingsmethode="Lineair",Aflossingsbedrag,IF(Aflossingsmethode="Annuïteit",IFERROR(Bedrag_annuïteit-K178,0),0)))))</f>
        <v/>
      </c>
      <c r="K178" s="58" t="str">
        <f>IF($B177="","",IF($B177+1&gt;dropdown!$D$12,"",G178*I178*Rentekosten))</f>
        <v/>
      </c>
      <c r="L178" s="58" t="str">
        <f t="shared" si="24"/>
        <v/>
      </c>
      <c r="M178" s="58" t="str">
        <f t="shared" si="18"/>
        <v/>
      </c>
      <c r="N178" s="57"/>
      <c r="O178" s="60" t="str">
        <f t="shared" si="19"/>
        <v/>
      </c>
      <c r="P178" s="60" t="str">
        <f t="shared" si="20"/>
        <v/>
      </c>
      <c r="Q178" s="60" t="str">
        <f t="shared" si="25"/>
        <v/>
      </c>
      <c r="R178" s="57"/>
      <c r="S178" s="58" t="str">
        <f t="shared" si="21"/>
        <v/>
      </c>
      <c r="T178" s="58" t="str">
        <f t="shared" si="22"/>
        <v/>
      </c>
      <c r="U178" s="61" t="str">
        <f t="shared" si="26"/>
        <v/>
      </c>
      <c r="V178" s="58" t="str">
        <f t="shared" si="23"/>
        <v/>
      </c>
      <c r="W178" s="57"/>
    </row>
    <row r="179" spans="1:23" s="59" customFormat="1" x14ac:dyDescent="0.25">
      <c r="A179" s="53"/>
      <c r="B179" s="54" t="str">
        <f>IF($B178="","",IF($B178+1&gt;dropdown!$D$12,"",Schema!B178+1))</f>
        <v/>
      </c>
      <c r="C179" s="55" t="str">
        <f>IF($B178="","",IF($B178+1&gt;dropdown!$D$12,"",EOMONTH(C178,0)+1))</f>
        <v/>
      </c>
      <c r="D179" s="53"/>
      <c r="E179" s="55" t="str">
        <f>IF($B178="","",IF($B178+1&gt;dropdown!$D$12,"",F178+1))</f>
        <v/>
      </c>
      <c r="F179" s="55" t="str">
        <f>IF($B178="","",IF($B178+1&gt;dropdown!$D$12,"",EOMONTH(E179,0)))</f>
        <v/>
      </c>
      <c r="G179" s="56" t="str">
        <f>IF($B178="","",IF($B178+1&gt;dropdown!$D$12,"",(_xlfn.DAYS(F179,E179)+1)/DAY(F179)))</f>
        <v/>
      </c>
      <c r="H179" s="57"/>
      <c r="I179" s="58" t="str">
        <f>IF($B178="","",IF($B178+1&gt;dropdown!$D$12,"",I178-J178))</f>
        <v/>
      </c>
      <c r="J179" s="58" t="str">
        <f>IF($B178="","",IF($B178+1&gt;dropdown!$D$12,"",IF(B178&lt;dropdown!$D$13,0,IF(Aflossingsmethode="Lineair",Aflossingsbedrag,IF(Aflossingsmethode="Annuïteit",IFERROR(Bedrag_annuïteit-K179,0),0)))))</f>
        <v/>
      </c>
      <c r="K179" s="58" t="str">
        <f>IF($B178="","",IF($B178+1&gt;dropdown!$D$12,"",G179*I179*Rentekosten))</f>
        <v/>
      </c>
      <c r="L179" s="58" t="str">
        <f t="shared" si="24"/>
        <v/>
      </c>
      <c r="M179" s="58" t="str">
        <f t="shared" si="18"/>
        <v/>
      </c>
      <c r="N179" s="57"/>
      <c r="O179" s="60" t="str">
        <f t="shared" si="19"/>
        <v/>
      </c>
      <c r="P179" s="60" t="str">
        <f t="shared" si="20"/>
        <v/>
      </c>
      <c r="Q179" s="60" t="str">
        <f t="shared" si="25"/>
        <v/>
      </c>
      <c r="R179" s="57"/>
      <c r="S179" s="58" t="str">
        <f t="shared" si="21"/>
        <v/>
      </c>
      <c r="T179" s="58" t="str">
        <f t="shared" si="22"/>
        <v/>
      </c>
      <c r="U179" s="61" t="str">
        <f t="shared" si="26"/>
        <v/>
      </c>
      <c r="V179" s="58" t="str">
        <f t="shared" si="23"/>
        <v/>
      </c>
      <c r="W179" s="57"/>
    </row>
    <row r="180" spans="1:23" s="59" customFormat="1" x14ac:dyDescent="0.25">
      <c r="A180" s="53"/>
      <c r="B180" s="54" t="str">
        <f>IF($B179="","",IF($B179+1&gt;dropdown!$D$12,"",Schema!B179+1))</f>
        <v/>
      </c>
      <c r="C180" s="55" t="str">
        <f>IF($B179="","",IF($B179+1&gt;dropdown!$D$12,"",EOMONTH(C179,0)+1))</f>
        <v/>
      </c>
      <c r="D180" s="53"/>
      <c r="E180" s="55" t="str">
        <f>IF($B179="","",IF($B179+1&gt;dropdown!$D$12,"",F179+1))</f>
        <v/>
      </c>
      <c r="F180" s="55" t="str">
        <f>IF($B179="","",IF($B179+1&gt;dropdown!$D$12,"",EOMONTH(E180,0)))</f>
        <v/>
      </c>
      <c r="G180" s="56" t="str">
        <f>IF($B179="","",IF($B179+1&gt;dropdown!$D$12,"",(_xlfn.DAYS(F180,E180)+1)/DAY(F180)))</f>
        <v/>
      </c>
      <c r="H180" s="57"/>
      <c r="I180" s="58" t="str">
        <f>IF($B179="","",IF($B179+1&gt;dropdown!$D$12,"",I179-J179))</f>
        <v/>
      </c>
      <c r="J180" s="58" t="str">
        <f>IF($B179="","",IF($B179+1&gt;dropdown!$D$12,"",IF(B179&lt;dropdown!$D$13,0,IF(Aflossingsmethode="Lineair",Aflossingsbedrag,IF(Aflossingsmethode="Annuïteit",IFERROR(Bedrag_annuïteit-K180,0),0)))))</f>
        <v/>
      </c>
      <c r="K180" s="58" t="str">
        <f>IF($B179="","",IF($B179+1&gt;dropdown!$D$12,"",G180*I180*Rentekosten))</f>
        <v/>
      </c>
      <c r="L180" s="58" t="str">
        <f t="shared" si="24"/>
        <v/>
      </c>
      <c r="M180" s="58" t="str">
        <f t="shared" si="18"/>
        <v/>
      </c>
      <c r="N180" s="57"/>
      <c r="O180" s="60" t="str">
        <f t="shared" si="19"/>
        <v/>
      </c>
      <c r="P180" s="60" t="str">
        <f t="shared" si="20"/>
        <v/>
      </c>
      <c r="Q180" s="60" t="str">
        <f t="shared" si="25"/>
        <v/>
      </c>
      <c r="R180" s="57"/>
      <c r="S180" s="58" t="str">
        <f t="shared" si="21"/>
        <v/>
      </c>
      <c r="T180" s="58" t="str">
        <f t="shared" si="22"/>
        <v/>
      </c>
      <c r="U180" s="61" t="str">
        <f t="shared" si="26"/>
        <v/>
      </c>
      <c r="V180" s="58" t="str">
        <f t="shared" si="23"/>
        <v/>
      </c>
      <c r="W180" s="57"/>
    </row>
    <row r="181" spans="1:23" s="59" customFormat="1" x14ac:dyDescent="0.25">
      <c r="A181" s="53"/>
      <c r="B181" s="54" t="str">
        <f>IF($B180="","",IF($B180+1&gt;dropdown!$D$12,"",Schema!B180+1))</f>
        <v/>
      </c>
      <c r="C181" s="55" t="str">
        <f>IF($B180="","",IF($B180+1&gt;dropdown!$D$12,"",EOMONTH(C180,0)+1))</f>
        <v/>
      </c>
      <c r="D181" s="53"/>
      <c r="E181" s="55" t="str">
        <f>IF($B180="","",IF($B180+1&gt;dropdown!$D$12,"",F180+1))</f>
        <v/>
      </c>
      <c r="F181" s="55" t="str">
        <f>IF($B180="","",IF($B180+1&gt;dropdown!$D$12,"",EOMONTH(E181,0)))</f>
        <v/>
      </c>
      <c r="G181" s="56" t="str">
        <f>IF($B180="","",IF($B180+1&gt;dropdown!$D$12,"",(_xlfn.DAYS(F181,E181)+1)/DAY(F181)))</f>
        <v/>
      </c>
      <c r="H181" s="57"/>
      <c r="I181" s="58" t="str">
        <f>IF($B180="","",IF($B180+1&gt;dropdown!$D$12,"",I180-J180))</f>
        <v/>
      </c>
      <c r="J181" s="58" t="str">
        <f>IF($B180="","",IF($B180+1&gt;dropdown!$D$12,"",IF(B180&lt;dropdown!$D$13,0,IF(Aflossingsmethode="Lineair",Aflossingsbedrag,IF(Aflossingsmethode="Annuïteit",IFERROR(Bedrag_annuïteit-K181,0),0)))))</f>
        <v/>
      </c>
      <c r="K181" s="58" t="str">
        <f>IF($B180="","",IF($B180+1&gt;dropdown!$D$12,"",G181*I181*Rentekosten))</f>
        <v/>
      </c>
      <c r="L181" s="58" t="str">
        <f t="shared" si="24"/>
        <v/>
      </c>
      <c r="M181" s="58" t="str">
        <f t="shared" si="18"/>
        <v/>
      </c>
      <c r="N181" s="57"/>
      <c r="O181" s="60" t="str">
        <f t="shared" si="19"/>
        <v/>
      </c>
      <c r="P181" s="60" t="str">
        <f t="shared" si="20"/>
        <v/>
      </c>
      <c r="Q181" s="60" t="str">
        <f t="shared" si="25"/>
        <v/>
      </c>
      <c r="R181" s="57"/>
      <c r="S181" s="58" t="str">
        <f t="shared" si="21"/>
        <v/>
      </c>
      <c r="T181" s="58" t="str">
        <f t="shared" si="22"/>
        <v/>
      </c>
      <c r="U181" s="61" t="str">
        <f t="shared" si="26"/>
        <v/>
      </c>
      <c r="V181" s="58" t="str">
        <f t="shared" si="23"/>
        <v/>
      </c>
      <c r="W181" s="57"/>
    </row>
    <row r="182" spans="1:23" s="59" customFormat="1" x14ac:dyDescent="0.25">
      <c r="A182" s="53"/>
      <c r="B182" s="54" t="str">
        <f>IF($B181="","",IF($B181+1&gt;dropdown!$D$12,"",Schema!B181+1))</f>
        <v/>
      </c>
      <c r="C182" s="55" t="str">
        <f>IF($B181="","",IF($B181+1&gt;dropdown!$D$12,"",EOMONTH(C181,0)+1))</f>
        <v/>
      </c>
      <c r="D182" s="53"/>
      <c r="E182" s="55" t="str">
        <f>IF($B181="","",IF($B181+1&gt;dropdown!$D$12,"",F181+1))</f>
        <v/>
      </c>
      <c r="F182" s="55" t="str">
        <f>IF($B181="","",IF($B181+1&gt;dropdown!$D$12,"",EOMONTH(E182,0)))</f>
        <v/>
      </c>
      <c r="G182" s="56" t="str">
        <f>IF($B181="","",IF($B181+1&gt;dropdown!$D$12,"",(_xlfn.DAYS(F182,E182)+1)/DAY(F182)))</f>
        <v/>
      </c>
      <c r="H182" s="57"/>
      <c r="I182" s="58" t="str">
        <f>IF($B181="","",IF($B181+1&gt;dropdown!$D$12,"",I181-J181))</f>
        <v/>
      </c>
      <c r="J182" s="58" t="str">
        <f>IF($B181="","",IF($B181+1&gt;dropdown!$D$12,"",IF(B181&lt;dropdown!$D$13,0,IF(Aflossingsmethode="Lineair",Aflossingsbedrag,IF(Aflossingsmethode="Annuïteit",IFERROR(Bedrag_annuïteit-K182,0),0)))))</f>
        <v/>
      </c>
      <c r="K182" s="58" t="str">
        <f>IF($B181="","",IF($B181+1&gt;dropdown!$D$12,"",G182*I182*Rentekosten))</f>
        <v/>
      </c>
      <c r="L182" s="58" t="str">
        <f t="shared" si="24"/>
        <v/>
      </c>
      <c r="M182" s="58" t="str">
        <f t="shared" si="18"/>
        <v/>
      </c>
      <c r="N182" s="57"/>
      <c r="O182" s="60" t="str">
        <f t="shared" si="19"/>
        <v/>
      </c>
      <c r="P182" s="60" t="str">
        <f t="shared" si="20"/>
        <v/>
      </c>
      <c r="Q182" s="60" t="str">
        <f t="shared" si="25"/>
        <v/>
      </c>
      <c r="R182" s="57"/>
      <c r="S182" s="58" t="str">
        <f t="shared" si="21"/>
        <v/>
      </c>
      <c r="T182" s="58" t="str">
        <f t="shared" si="22"/>
        <v/>
      </c>
      <c r="U182" s="61" t="str">
        <f t="shared" si="26"/>
        <v/>
      </c>
      <c r="V182" s="58" t="str">
        <f t="shared" si="23"/>
        <v/>
      </c>
      <c r="W182" s="57"/>
    </row>
    <row r="183" spans="1:23" s="59" customFormat="1" x14ac:dyDescent="0.25">
      <c r="A183" s="53"/>
      <c r="B183" s="54" t="str">
        <f>IF($B182="","",IF($B182+1&gt;dropdown!$D$12,"",Schema!B182+1))</f>
        <v/>
      </c>
      <c r="C183" s="55" t="str">
        <f>IF($B182="","",IF($B182+1&gt;dropdown!$D$12,"",EOMONTH(C182,0)+1))</f>
        <v/>
      </c>
      <c r="D183" s="53"/>
      <c r="E183" s="55" t="str">
        <f>IF($B182="","",IF($B182+1&gt;dropdown!$D$12,"",F182+1))</f>
        <v/>
      </c>
      <c r="F183" s="55" t="str">
        <f>IF($B182="","",IF($B182+1&gt;dropdown!$D$12,"",EOMONTH(E183,0)))</f>
        <v/>
      </c>
      <c r="G183" s="56" t="str">
        <f>IF($B182="","",IF($B182+1&gt;dropdown!$D$12,"",(_xlfn.DAYS(F183,E183)+1)/DAY(F183)))</f>
        <v/>
      </c>
      <c r="H183" s="57"/>
      <c r="I183" s="58" t="str">
        <f>IF($B182="","",IF($B182+1&gt;dropdown!$D$12,"",I182-J182))</f>
        <v/>
      </c>
      <c r="J183" s="58" t="str">
        <f>IF($B182="","",IF($B182+1&gt;dropdown!$D$12,"",IF(B182&lt;dropdown!$D$13,0,IF(Aflossingsmethode="Lineair",Aflossingsbedrag,IF(Aflossingsmethode="Annuïteit",IFERROR(Bedrag_annuïteit-K183,0),0)))))</f>
        <v/>
      </c>
      <c r="K183" s="58" t="str">
        <f>IF($B182="","",IF($B182+1&gt;dropdown!$D$12,"",G183*I183*Rentekosten))</f>
        <v/>
      </c>
      <c r="L183" s="58" t="str">
        <f t="shared" si="24"/>
        <v/>
      </c>
      <c r="M183" s="58" t="str">
        <f t="shared" si="18"/>
        <v/>
      </c>
      <c r="N183" s="57"/>
      <c r="O183" s="60" t="str">
        <f t="shared" si="19"/>
        <v/>
      </c>
      <c r="P183" s="60" t="str">
        <f t="shared" si="20"/>
        <v/>
      </c>
      <c r="Q183" s="60" t="str">
        <f t="shared" si="25"/>
        <v/>
      </c>
      <c r="R183" s="57"/>
      <c r="S183" s="58" t="str">
        <f t="shared" si="21"/>
        <v/>
      </c>
      <c r="T183" s="58" t="str">
        <f t="shared" si="22"/>
        <v/>
      </c>
      <c r="U183" s="61" t="str">
        <f t="shared" si="26"/>
        <v/>
      </c>
      <c r="V183" s="58" t="str">
        <f t="shared" si="23"/>
        <v/>
      </c>
      <c r="W183" s="57"/>
    </row>
    <row r="184" spans="1:23" s="59" customFormat="1" x14ac:dyDescent="0.25">
      <c r="A184" s="53"/>
      <c r="B184" s="54" t="str">
        <f>IF($B183="","",IF($B183+1&gt;dropdown!$D$12,"",Schema!B183+1))</f>
        <v/>
      </c>
      <c r="C184" s="55" t="str">
        <f>IF($B183="","",IF($B183+1&gt;dropdown!$D$12,"",EOMONTH(C183,0)+1))</f>
        <v/>
      </c>
      <c r="D184" s="53"/>
      <c r="E184" s="55" t="str">
        <f>IF($B183="","",IF($B183+1&gt;dropdown!$D$12,"",F183+1))</f>
        <v/>
      </c>
      <c r="F184" s="55" t="str">
        <f>IF($B183="","",IF($B183+1&gt;dropdown!$D$12,"",EOMONTH(E184,0)))</f>
        <v/>
      </c>
      <c r="G184" s="56" t="str">
        <f>IF($B183="","",IF($B183+1&gt;dropdown!$D$12,"",(_xlfn.DAYS(F184,E184)+1)/DAY(F184)))</f>
        <v/>
      </c>
      <c r="H184" s="57"/>
      <c r="I184" s="58" t="str">
        <f>IF($B183="","",IF($B183+1&gt;dropdown!$D$12,"",I183-J183))</f>
        <v/>
      </c>
      <c r="J184" s="58" t="str">
        <f>IF($B183="","",IF($B183+1&gt;dropdown!$D$12,"",IF(B183&lt;dropdown!$D$13,0,IF(Aflossingsmethode="Lineair",Aflossingsbedrag,IF(Aflossingsmethode="Annuïteit",IFERROR(Bedrag_annuïteit-K184,0),0)))))</f>
        <v/>
      </c>
      <c r="K184" s="58" t="str">
        <f>IF($B183="","",IF($B183+1&gt;dropdown!$D$12,"",G184*I184*Rentekosten))</f>
        <v/>
      </c>
      <c r="L184" s="58" t="str">
        <f t="shared" si="24"/>
        <v/>
      </c>
      <c r="M184" s="58" t="str">
        <f t="shared" si="18"/>
        <v/>
      </c>
      <c r="N184" s="57"/>
      <c r="O184" s="60" t="str">
        <f t="shared" si="19"/>
        <v/>
      </c>
      <c r="P184" s="60" t="str">
        <f t="shared" si="20"/>
        <v/>
      </c>
      <c r="Q184" s="60" t="str">
        <f t="shared" si="25"/>
        <v/>
      </c>
      <c r="R184" s="57"/>
      <c r="S184" s="58" t="str">
        <f t="shared" si="21"/>
        <v/>
      </c>
      <c r="T184" s="58" t="str">
        <f t="shared" si="22"/>
        <v/>
      </c>
      <c r="U184" s="61" t="str">
        <f t="shared" si="26"/>
        <v/>
      </c>
      <c r="V184" s="58" t="str">
        <f t="shared" si="23"/>
        <v/>
      </c>
      <c r="W184" s="57"/>
    </row>
    <row r="185" spans="1:23" s="59" customFormat="1" x14ac:dyDescent="0.25">
      <c r="A185" s="53"/>
      <c r="B185" s="54" t="str">
        <f>IF($B184="","",IF($B184+1&gt;dropdown!$D$12,"",Schema!B184+1))</f>
        <v/>
      </c>
      <c r="C185" s="55" t="str">
        <f>IF($B184="","",IF($B184+1&gt;dropdown!$D$12,"",EOMONTH(C184,0)+1))</f>
        <v/>
      </c>
      <c r="D185" s="53"/>
      <c r="E185" s="55" t="str">
        <f>IF($B184="","",IF($B184+1&gt;dropdown!$D$12,"",F184+1))</f>
        <v/>
      </c>
      <c r="F185" s="55" t="str">
        <f>IF($B184="","",IF($B184+1&gt;dropdown!$D$12,"",EOMONTH(E185,0)))</f>
        <v/>
      </c>
      <c r="G185" s="56" t="str">
        <f>IF($B184="","",IF($B184+1&gt;dropdown!$D$12,"",(_xlfn.DAYS(F185,E185)+1)/DAY(F185)))</f>
        <v/>
      </c>
      <c r="H185" s="57"/>
      <c r="I185" s="58" t="str">
        <f>IF($B184="","",IF($B184+1&gt;dropdown!$D$12,"",I184-J184))</f>
        <v/>
      </c>
      <c r="J185" s="58" t="str">
        <f>IF($B184="","",IF($B184+1&gt;dropdown!$D$12,"",IF(B184&lt;dropdown!$D$13,0,IF(Aflossingsmethode="Lineair",Aflossingsbedrag,IF(Aflossingsmethode="Annuïteit",IFERROR(Bedrag_annuïteit-K185,0),0)))))</f>
        <v/>
      </c>
      <c r="K185" s="58" t="str">
        <f>IF($B184="","",IF($B184+1&gt;dropdown!$D$12,"",G185*I185*Rentekosten))</f>
        <v/>
      </c>
      <c r="L185" s="58" t="str">
        <f t="shared" si="24"/>
        <v/>
      </c>
      <c r="M185" s="58" t="str">
        <f t="shared" si="18"/>
        <v/>
      </c>
      <c r="N185" s="57"/>
      <c r="O185" s="60" t="str">
        <f t="shared" si="19"/>
        <v/>
      </c>
      <c r="P185" s="60" t="str">
        <f t="shared" si="20"/>
        <v/>
      </c>
      <c r="Q185" s="60" t="str">
        <f t="shared" si="25"/>
        <v/>
      </c>
      <c r="R185" s="57"/>
      <c r="S185" s="58" t="str">
        <f t="shared" si="21"/>
        <v/>
      </c>
      <c r="T185" s="58" t="str">
        <f t="shared" si="22"/>
        <v/>
      </c>
      <c r="U185" s="61" t="str">
        <f t="shared" si="26"/>
        <v/>
      </c>
      <c r="V185" s="58" t="str">
        <f t="shared" si="23"/>
        <v/>
      </c>
      <c r="W185" s="57"/>
    </row>
    <row r="186" spans="1:23" s="59" customFormat="1" x14ac:dyDescent="0.25">
      <c r="A186" s="53"/>
      <c r="B186" s="54" t="str">
        <f>IF($B185="","",IF($B185+1&gt;dropdown!$D$12,"",Schema!B185+1))</f>
        <v/>
      </c>
      <c r="C186" s="55" t="str">
        <f>IF($B185="","",IF($B185+1&gt;dropdown!$D$12,"",EOMONTH(C185,0)+1))</f>
        <v/>
      </c>
      <c r="D186" s="53"/>
      <c r="E186" s="55" t="str">
        <f>IF($B185="","",IF($B185+1&gt;dropdown!$D$12,"",F185+1))</f>
        <v/>
      </c>
      <c r="F186" s="55" t="str">
        <f>IF($B185="","",IF($B185+1&gt;dropdown!$D$12,"",EOMONTH(E186,0)))</f>
        <v/>
      </c>
      <c r="G186" s="56" t="str">
        <f>IF($B185="","",IF($B185+1&gt;dropdown!$D$12,"",(_xlfn.DAYS(F186,E186)+1)/DAY(F186)))</f>
        <v/>
      </c>
      <c r="H186" s="57"/>
      <c r="I186" s="58" t="str">
        <f>IF($B185="","",IF($B185+1&gt;dropdown!$D$12,"",I185-J185))</f>
        <v/>
      </c>
      <c r="J186" s="58" t="str">
        <f>IF($B185="","",IF($B185+1&gt;dropdown!$D$12,"",IF(B185&lt;dropdown!$D$13,0,IF(Aflossingsmethode="Lineair",Aflossingsbedrag,IF(Aflossingsmethode="Annuïteit",IFERROR(Bedrag_annuïteit-K186,0),0)))))</f>
        <v/>
      </c>
      <c r="K186" s="58" t="str">
        <f>IF($B185="","",IF($B185+1&gt;dropdown!$D$12,"",G186*I186*Rentekosten))</f>
        <v/>
      </c>
      <c r="L186" s="58" t="str">
        <f t="shared" si="24"/>
        <v/>
      </c>
      <c r="M186" s="58" t="str">
        <f t="shared" si="18"/>
        <v/>
      </c>
      <c r="N186" s="57"/>
      <c r="O186" s="60" t="str">
        <f t="shared" si="19"/>
        <v/>
      </c>
      <c r="P186" s="60" t="str">
        <f t="shared" si="20"/>
        <v/>
      </c>
      <c r="Q186" s="60" t="str">
        <f t="shared" si="25"/>
        <v/>
      </c>
      <c r="R186" s="57"/>
      <c r="S186" s="58" t="str">
        <f t="shared" si="21"/>
        <v/>
      </c>
      <c r="T186" s="58" t="str">
        <f t="shared" si="22"/>
        <v/>
      </c>
      <c r="U186" s="61" t="str">
        <f t="shared" si="26"/>
        <v/>
      </c>
      <c r="V186" s="58" t="str">
        <f t="shared" si="23"/>
        <v/>
      </c>
      <c r="W186" s="57"/>
    </row>
    <row r="187" spans="1:23" s="59" customFormat="1" x14ac:dyDescent="0.25">
      <c r="A187" s="53"/>
      <c r="B187" s="54" t="str">
        <f>IF($B186="","",IF($B186+1&gt;dropdown!$D$12,"",Schema!B186+1))</f>
        <v/>
      </c>
      <c r="C187" s="55" t="str">
        <f>IF($B186="","",IF($B186+1&gt;dropdown!$D$12,"",EOMONTH(C186,0)+1))</f>
        <v/>
      </c>
      <c r="D187" s="53"/>
      <c r="E187" s="55" t="str">
        <f>IF($B186="","",IF($B186+1&gt;dropdown!$D$12,"",F186+1))</f>
        <v/>
      </c>
      <c r="F187" s="55" t="str">
        <f>IF($B186="","",IF($B186+1&gt;dropdown!$D$12,"",EOMONTH(E187,0)))</f>
        <v/>
      </c>
      <c r="G187" s="56" t="str">
        <f>IF($B186="","",IF($B186+1&gt;dropdown!$D$12,"",(_xlfn.DAYS(F187,E187)+1)/DAY(F187)))</f>
        <v/>
      </c>
      <c r="H187" s="57"/>
      <c r="I187" s="58" t="str">
        <f>IF($B186="","",IF($B186+1&gt;dropdown!$D$12,"",I186-J186))</f>
        <v/>
      </c>
      <c r="J187" s="58" t="str">
        <f>IF($B186="","",IF($B186+1&gt;dropdown!$D$12,"",IF(B186&lt;dropdown!$D$13,0,IF(Aflossingsmethode="Lineair",Aflossingsbedrag,IF(Aflossingsmethode="Annuïteit",IFERROR(Bedrag_annuïteit-K187,0),0)))))</f>
        <v/>
      </c>
      <c r="K187" s="58" t="str">
        <f>IF($B186="","",IF($B186+1&gt;dropdown!$D$12,"",G187*I187*Rentekosten))</f>
        <v/>
      </c>
      <c r="L187" s="58" t="str">
        <f t="shared" si="24"/>
        <v/>
      </c>
      <c r="M187" s="58" t="str">
        <f t="shared" si="18"/>
        <v/>
      </c>
      <c r="N187" s="57"/>
      <c r="O187" s="60" t="str">
        <f t="shared" si="19"/>
        <v/>
      </c>
      <c r="P187" s="60" t="str">
        <f t="shared" si="20"/>
        <v/>
      </c>
      <c r="Q187" s="60" t="str">
        <f t="shared" si="25"/>
        <v/>
      </c>
      <c r="R187" s="57"/>
      <c r="S187" s="58" t="str">
        <f t="shared" si="21"/>
        <v/>
      </c>
      <c r="T187" s="58" t="str">
        <f t="shared" si="22"/>
        <v/>
      </c>
      <c r="U187" s="61" t="str">
        <f t="shared" si="26"/>
        <v/>
      </c>
      <c r="V187" s="58" t="str">
        <f t="shared" si="23"/>
        <v/>
      </c>
      <c r="W187" s="57"/>
    </row>
    <row r="188" spans="1:23" s="59" customFormat="1" x14ac:dyDescent="0.25">
      <c r="A188" s="53"/>
      <c r="B188" s="54" t="str">
        <f>IF($B187="","",IF($B187+1&gt;dropdown!$D$12,"",Schema!B187+1))</f>
        <v/>
      </c>
      <c r="C188" s="55" t="str">
        <f>IF($B187="","",IF($B187+1&gt;dropdown!$D$12,"",EOMONTH(C187,0)+1))</f>
        <v/>
      </c>
      <c r="D188" s="53"/>
      <c r="E188" s="55" t="str">
        <f>IF($B187="","",IF($B187+1&gt;dropdown!$D$12,"",F187+1))</f>
        <v/>
      </c>
      <c r="F188" s="55" t="str">
        <f>IF($B187="","",IF($B187+1&gt;dropdown!$D$12,"",EOMONTH(E188,0)))</f>
        <v/>
      </c>
      <c r="G188" s="56" t="str">
        <f>IF($B187="","",IF($B187+1&gt;dropdown!$D$12,"",(_xlfn.DAYS(F188,E188)+1)/DAY(F188)))</f>
        <v/>
      </c>
      <c r="H188" s="57"/>
      <c r="I188" s="58" t="str">
        <f>IF($B187="","",IF($B187+1&gt;dropdown!$D$12,"",I187-J187))</f>
        <v/>
      </c>
      <c r="J188" s="58" t="str">
        <f>IF($B187="","",IF($B187+1&gt;dropdown!$D$12,"",IF(B187&lt;dropdown!$D$13,0,IF(Aflossingsmethode="Lineair",Aflossingsbedrag,IF(Aflossingsmethode="Annuïteit",IFERROR(Bedrag_annuïteit-K188,0),0)))))</f>
        <v/>
      </c>
      <c r="K188" s="58" t="str">
        <f>IF($B187="","",IF($B187+1&gt;dropdown!$D$12,"",G188*I188*Rentekosten))</f>
        <v/>
      </c>
      <c r="L188" s="58" t="str">
        <f t="shared" si="24"/>
        <v/>
      </c>
      <c r="M188" s="58" t="str">
        <f t="shared" si="18"/>
        <v/>
      </c>
      <c r="N188" s="57"/>
      <c r="O188" s="60" t="str">
        <f t="shared" si="19"/>
        <v/>
      </c>
      <c r="P188" s="60" t="str">
        <f t="shared" si="20"/>
        <v/>
      </c>
      <c r="Q188" s="60" t="str">
        <f t="shared" si="25"/>
        <v/>
      </c>
      <c r="R188" s="57"/>
      <c r="S188" s="58" t="str">
        <f t="shared" si="21"/>
        <v/>
      </c>
      <c r="T188" s="58" t="str">
        <f t="shared" si="22"/>
        <v/>
      </c>
      <c r="U188" s="61" t="str">
        <f t="shared" si="26"/>
        <v/>
      </c>
      <c r="V188" s="58" t="str">
        <f t="shared" si="23"/>
        <v/>
      </c>
      <c r="W188" s="57"/>
    </row>
    <row r="189" spans="1:23" s="59" customFormat="1" x14ac:dyDescent="0.25">
      <c r="A189" s="53"/>
      <c r="B189" s="54" t="str">
        <f>IF($B188="","",IF($B188+1&gt;dropdown!$D$12,"",Schema!B188+1))</f>
        <v/>
      </c>
      <c r="C189" s="55" t="str">
        <f>IF($B188="","",IF($B188+1&gt;dropdown!$D$12,"",EOMONTH(C188,0)+1))</f>
        <v/>
      </c>
      <c r="D189" s="53"/>
      <c r="E189" s="55" t="str">
        <f>IF($B188="","",IF($B188+1&gt;dropdown!$D$12,"",F188+1))</f>
        <v/>
      </c>
      <c r="F189" s="55" t="str">
        <f>IF($B188="","",IF($B188+1&gt;dropdown!$D$12,"",EOMONTH(E189,0)))</f>
        <v/>
      </c>
      <c r="G189" s="56" t="str">
        <f>IF($B188="","",IF($B188+1&gt;dropdown!$D$12,"",(_xlfn.DAYS(F189,E189)+1)/DAY(F189)))</f>
        <v/>
      </c>
      <c r="H189" s="57"/>
      <c r="I189" s="58" t="str">
        <f>IF($B188="","",IF($B188+1&gt;dropdown!$D$12,"",I188-J188))</f>
        <v/>
      </c>
      <c r="J189" s="58" t="str">
        <f>IF($B188="","",IF($B188+1&gt;dropdown!$D$12,"",IF(B188&lt;dropdown!$D$13,0,IF(Aflossingsmethode="Lineair",Aflossingsbedrag,IF(Aflossingsmethode="Annuïteit",IFERROR(Bedrag_annuïteit-K189,0),0)))))</f>
        <v/>
      </c>
      <c r="K189" s="58" t="str">
        <f>IF($B188="","",IF($B188+1&gt;dropdown!$D$12,"",G189*I189*Rentekosten))</f>
        <v/>
      </c>
      <c r="L189" s="58" t="str">
        <f t="shared" si="24"/>
        <v/>
      </c>
      <c r="M189" s="58" t="str">
        <f t="shared" si="18"/>
        <v/>
      </c>
      <c r="N189" s="57"/>
      <c r="O189" s="60" t="str">
        <f t="shared" si="19"/>
        <v/>
      </c>
      <c r="P189" s="60" t="str">
        <f t="shared" si="20"/>
        <v/>
      </c>
      <c r="Q189" s="60" t="str">
        <f t="shared" si="25"/>
        <v/>
      </c>
      <c r="R189" s="57"/>
      <c r="S189" s="58" t="str">
        <f t="shared" si="21"/>
        <v/>
      </c>
      <c r="T189" s="58" t="str">
        <f t="shared" si="22"/>
        <v/>
      </c>
      <c r="U189" s="61" t="str">
        <f t="shared" si="26"/>
        <v/>
      </c>
      <c r="V189" s="58" t="str">
        <f t="shared" si="23"/>
        <v/>
      </c>
      <c r="W189" s="57"/>
    </row>
    <row r="190" spans="1:23" s="59" customFormat="1" x14ac:dyDescent="0.25">
      <c r="A190" s="53"/>
      <c r="B190" s="54" t="str">
        <f>IF($B189="","",IF($B189+1&gt;dropdown!$D$12,"",Schema!B189+1))</f>
        <v/>
      </c>
      <c r="C190" s="55" t="str">
        <f>IF($B189="","",IF($B189+1&gt;dropdown!$D$12,"",EOMONTH(C189,0)+1))</f>
        <v/>
      </c>
      <c r="D190" s="53"/>
      <c r="E190" s="55" t="str">
        <f>IF($B189="","",IF($B189+1&gt;dropdown!$D$12,"",F189+1))</f>
        <v/>
      </c>
      <c r="F190" s="55" t="str">
        <f>IF($B189="","",IF($B189+1&gt;dropdown!$D$12,"",EOMONTH(E190,0)))</f>
        <v/>
      </c>
      <c r="G190" s="56" t="str">
        <f>IF($B189="","",IF($B189+1&gt;dropdown!$D$12,"",(_xlfn.DAYS(F190,E190)+1)/DAY(F190)))</f>
        <v/>
      </c>
      <c r="H190" s="57"/>
      <c r="I190" s="58" t="str">
        <f>IF($B189="","",IF($B189+1&gt;dropdown!$D$12,"",I189-J189))</f>
        <v/>
      </c>
      <c r="J190" s="58" t="str">
        <f>IF($B189="","",IF($B189+1&gt;dropdown!$D$12,"",IF(B189&lt;dropdown!$D$13,0,IF(Aflossingsmethode="Lineair",Aflossingsbedrag,IF(Aflossingsmethode="Annuïteit",IFERROR(Bedrag_annuïteit-K190,0),0)))))</f>
        <v/>
      </c>
      <c r="K190" s="58" t="str">
        <f>IF($B189="","",IF($B189+1&gt;dropdown!$D$12,"",G190*I190*Rentekosten))</f>
        <v/>
      </c>
      <c r="L190" s="58" t="str">
        <f t="shared" si="24"/>
        <v/>
      </c>
      <c r="M190" s="58" t="str">
        <f t="shared" si="18"/>
        <v/>
      </c>
      <c r="N190" s="57"/>
      <c r="O190" s="60" t="str">
        <f t="shared" si="19"/>
        <v/>
      </c>
      <c r="P190" s="60" t="str">
        <f t="shared" si="20"/>
        <v/>
      </c>
      <c r="Q190" s="60" t="str">
        <f t="shared" si="25"/>
        <v/>
      </c>
      <c r="R190" s="57"/>
      <c r="S190" s="58" t="str">
        <f t="shared" si="21"/>
        <v/>
      </c>
      <c r="T190" s="58" t="str">
        <f t="shared" si="22"/>
        <v/>
      </c>
      <c r="U190" s="61" t="str">
        <f t="shared" si="26"/>
        <v/>
      </c>
      <c r="V190" s="58" t="str">
        <f t="shared" si="23"/>
        <v/>
      </c>
      <c r="W190" s="57"/>
    </row>
    <row r="191" spans="1:23" s="59" customFormat="1" x14ac:dyDescent="0.25">
      <c r="A191" s="53"/>
      <c r="B191" s="54" t="str">
        <f>IF($B190="","",IF($B190+1&gt;dropdown!$D$12,"",Schema!B190+1))</f>
        <v/>
      </c>
      <c r="C191" s="55" t="str">
        <f>IF($B190="","",IF($B190+1&gt;dropdown!$D$12,"",EOMONTH(C190,0)+1))</f>
        <v/>
      </c>
      <c r="D191" s="53"/>
      <c r="E191" s="55" t="str">
        <f>IF($B190="","",IF($B190+1&gt;dropdown!$D$12,"",F190+1))</f>
        <v/>
      </c>
      <c r="F191" s="55" t="str">
        <f>IF($B190="","",IF($B190+1&gt;dropdown!$D$12,"",EOMONTH(E191,0)))</f>
        <v/>
      </c>
      <c r="G191" s="56" t="str">
        <f>IF($B190="","",IF($B190+1&gt;dropdown!$D$12,"",(_xlfn.DAYS(F191,E191)+1)/DAY(F191)))</f>
        <v/>
      </c>
      <c r="H191" s="57"/>
      <c r="I191" s="58" t="str">
        <f>IF($B190="","",IF($B190+1&gt;dropdown!$D$12,"",I190-J190))</f>
        <v/>
      </c>
      <c r="J191" s="58" t="str">
        <f>IF($B190="","",IF($B190+1&gt;dropdown!$D$12,"",IF(B190&lt;dropdown!$D$13,0,IF(Aflossingsmethode="Lineair",Aflossingsbedrag,IF(Aflossingsmethode="Annuïteit",IFERROR(Bedrag_annuïteit-K191,0),0)))))</f>
        <v/>
      </c>
      <c r="K191" s="58" t="str">
        <f>IF($B190="","",IF($B190+1&gt;dropdown!$D$12,"",G191*I191*Rentekosten))</f>
        <v/>
      </c>
      <c r="L191" s="58" t="str">
        <f t="shared" si="24"/>
        <v/>
      </c>
      <c r="M191" s="58" t="str">
        <f t="shared" si="18"/>
        <v/>
      </c>
      <c r="N191" s="57"/>
      <c r="O191" s="60" t="str">
        <f t="shared" si="19"/>
        <v/>
      </c>
      <c r="P191" s="60" t="str">
        <f t="shared" si="20"/>
        <v/>
      </c>
      <c r="Q191" s="60" t="str">
        <f t="shared" si="25"/>
        <v/>
      </c>
      <c r="R191" s="57"/>
      <c r="S191" s="58" t="str">
        <f t="shared" si="21"/>
        <v/>
      </c>
      <c r="T191" s="58" t="str">
        <f t="shared" si="22"/>
        <v/>
      </c>
      <c r="U191" s="61" t="str">
        <f t="shared" si="26"/>
        <v/>
      </c>
      <c r="V191" s="58" t="str">
        <f t="shared" si="23"/>
        <v/>
      </c>
      <c r="W191" s="57"/>
    </row>
    <row r="192" spans="1:23" s="59" customFormat="1" x14ac:dyDescent="0.25">
      <c r="A192" s="53"/>
      <c r="B192" s="54" t="str">
        <f>IF($B191="","",IF($B191+1&gt;dropdown!$D$12,"",Schema!B191+1))</f>
        <v/>
      </c>
      <c r="C192" s="55" t="str">
        <f>IF($B191="","",IF($B191+1&gt;dropdown!$D$12,"",EOMONTH(C191,0)+1))</f>
        <v/>
      </c>
      <c r="D192" s="53"/>
      <c r="E192" s="55" t="str">
        <f>IF($B191="","",IF($B191+1&gt;dropdown!$D$12,"",F191+1))</f>
        <v/>
      </c>
      <c r="F192" s="55" t="str">
        <f>IF($B191="","",IF($B191+1&gt;dropdown!$D$12,"",EOMONTH(E192,0)))</f>
        <v/>
      </c>
      <c r="G192" s="56" t="str">
        <f>IF($B191="","",IF($B191+1&gt;dropdown!$D$12,"",(_xlfn.DAYS(F192,E192)+1)/DAY(F192)))</f>
        <v/>
      </c>
      <c r="H192" s="57"/>
      <c r="I192" s="58" t="str">
        <f>IF($B191="","",IF($B191+1&gt;dropdown!$D$12,"",I191-J191))</f>
        <v/>
      </c>
      <c r="J192" s="58" t="str">
        <f>IF($B191="","",IF($B191+1&gt;dropdown!$D$12,"",IF(B191&lt;dropdown!$D$13,0,IF(Aflossingsmethode="Lineair",Aflossingsbedrag,IF(Aflossingsmethode="Annuïteit",IFERROR(Bedrag_annuïteit-K192,0),0)))))</f>
        <v/>
      </c>
      <c r="K192" s="58" t="str">
        <f>IF($B191="","",IF($B191+1&gt;dropdown!$D$12,"",G192*I192*Rentekosten))</f>
        <v/>
      </c>
      <c r="L192" s="58" t="str">
        <f t="shared" si="24"/>
        <v/>
      </c>
      <c r="M192" s="58" t="str">
        <f t="shared" si="18"/>
        <v/>
      </c>
      <c r="N192" s="57"/>
      <c r="O192" s="60" t="str">
        <f t="shared" si="19"/>
        <v/>
      </c>
      <c r="P192" s="60" t="str">
        <f t="shared" si="20"/>
        <v/>
      </c>
      <c r="Q192" s="60" t="str">
        <f t="shared" si="25"/>
        <v/>
      </c>
      <c r="R192" s="57"/>
      <c r="S192" s="58" t="str">
        <f t="shared" si="21"/>
        <v/>
      </c>
      <c r="T192" s="58" t="str">
        <f t="shared" si="22"/>
        <v/>
      </c>
      <c r="U192" s="61" t="str">
        <f t="shared" si="26"/>
        <v/>
      </c>
      <c r="V192" s="58" t="str">
        <f t="shared" si="23"/>
        <v/>
      </c>
      <c r="W192" s="57"/>
    </row>
    <row r="193" spans="1:23" s="59" customFormat="1" x14ac:dyDescent="0.25">
      <c r="A193" s="53"/>
      <c r="B193" s="54" t="str">
        <f>IF($B192="","",IF($B192+1&gt;dropdown!$D$12,"",Schema!B192+1))</f>
        <v/>
      </c>
      <c r="C193" s="55" t="str">
        <f>IF($B192="","",IF($B192+1&gt;dropdown!$D$12,"",EOMONTH(C192,0)+1))</f>
        <v/>
      </c>
      <c r="D193" s="53"/>
      <c r="E193" s="55" t="str">
        <f>IF($B192="","",IF($B192+1&gt;dropdown!$D$12,"",F192+1))</f>
        <v/>
      </c>
      <c r="F193" s="55" t="str">
        <f>IF($B192="","",IF($B192+1&gt;dropdown!$D$12,"",EOMONTH(E193,0)))</f>
        <v/>
      </c>
      <c r="G193" s="56" t="str">
        <f>IF($B192="","",IF($B192+1&gt;dropdown!$D$12,"",(_xlfn.DAYS(F193,E193)+1)/DAY(F193)))</f>
        <v/>
      </c>
      <c r="H193" s="57"/>
      <c r="I193" s="58" t="str">
        <f>IF($B192="","",IF($B192+1&gt;dropdown!$D$12,"",I192-J192))</f>
        <v/>
      </c>
      <c r="J193" s="58" t="str">
        <f>IF($B192="","",IF($B192+1&gt;dropdown!$D$12,"",IF(B192&lt;dropdown!$D$13,0,IF(Aflossingsmethode="Lineair",Aflossingsbedrag,IF(Aflossingsmethode="Annuïteit",IFERROR(Bedrag_annuïteit-K193,0),0)))))</f>
        <v/>
      </c>
      <c r="K193" s="58" t="str">
        <f>IF($B192="","",IF($B192+1&gt;dropdown!$D$12,"",G193*I193*Rentekosten))</f>
        <v/>
      </c>
      <c r="L193" s="58" t="str">
        <f t="shared" si="24"/>
        <v/>
      </c>
      <c r="M193" s="58" t="str">
        <f t="shared" si="18"/>
        <v/>
      </c>
      <c r="N193" s="57"/>
      <c r="O193" s="60" t="str">
        <f t="shared" si="19"/>
        <v/>
      </c>
      <c r="P193" s="60" t="str">
        <f t="shared" si="20"/>
        <v/>
      </c>
      <c r="Q193" s="60" t="str">
        <f t="shared" si="25"/>
        <v/>
      </c>
      <c r="R193" s="57"/>
      <c r="S193" s="58" t="str">
        <f t="shared" si="21"/>
        <v/>
      </c>
      <c r="T193" s="58" t="str">
        <f t="shared" si="22"/>
        <v/>
      </c>
      <c r="U193" s="61" t="str">
        <f t="shared" si="26"/>
        <v/>
      </c>
      <c r="V193" s="58" t="str">
        <f t="shared" si="23"/>
        <v/>
      </c>
      <c r="W193" s="57"/>
    </row>
    <row r="194" spans="1:23" s="59" customFormat="1" x14ac:dyDescent="0.25">
      <c r="A194" s="53"/>
      <c r="B194" s="54" t="str">
        <f>IF($B193="","",IF($B193+1&gt;dropdown!$D$12,"",Schema!B193+1))</f>
        <v/>
      </c>
      <c r="C194" s="55" t="str">
        <f>IF($B193="","",IF($B193+1&gt;dropdown!$D$12,"",EOMONTH(C193,0)+1))</f>
        <v/>
      </c>
      <c r="D194" s="53"/>
      <c r="E194" s="55" t="str">
        <f>IF($B193="","",IF($B193+1&gt;dropdown!$D$12,"",F193+1))</f>
        <v/>
      </c>
      <c r="F194" s="55" t="str">
        <f>IF($B193="","",IF($B193+1&gt;dropdown!$D$12,"",EOMONTH(E194,0)))</f>
        <v/>
      </c>
      <c r="G194" s="56" t="str">
        <f>IF($B193="","",IF($B193+1&gt;dropdown!$D$12,"",(_xlfn.DAYS(F194,E194)+1)/DAY(F194)))</f>
        <v/>
      </c>
      <c r="H194" s="57"/>
      <c r="I194" s="58" t="str">
        <f>IF($B193="","",IF($B193+1&gt;dropdown!$D$12,"",I193-J193))</f>
        <v/>
      </c>
      <c r="J194" s="58" t="str">
        <f>IF($B193="","",IF($B193+1&gt;dropdown!$D$12,"",IF(B193&lt;dropdown!$D$13,0,IF(Aflossingsmethode="Lineair",Aflossingsbedrag,IF(Aflossingsmethode="Annuïteit",IFERROR(Bedrag_annuïteit-K194,0),0)))))</f>
        <v/>
      </c>
      <c r="K194" s="58" t="str">
        <f>IF($B193="","",IF($B193+1&gt;dropdown!$D$12,"",G194*I194*Rentekosten))</f>
        <v/>
      </c>
      <c r="L194" s="58" t="str">
        <f t="shared" si="24"/>
        <v/>
      </c>
      <c r="M194" s="58" t="str">
        <f t="shared" si="18"/>
        <v/>
      </c>
      <c r="N194" s="57"/>
      <c r="O194" s="60" t="str">
        <f t="shared" si="19"/>
        <v/>
      </c>
      <c r="P194" s="60" t="str">
        <f t="shared" si="20"/>
        <v/>
      </c>
      <c r="Q194" s="60" t="str">
        <f t="shared" si="25"/>
        <v/>
      </c>
      <c r="R194" s="57"/>
      <c r="S194" s="58" t="str">
        <f t="shared" si="21"/>
        <v/>
      </c>
      <c r="T194" s="58" t="str">
        <f t="shared" si="22"/>
        <v/>
      </c>
      <c r="U194" s="61" t="str">
        <f t="shared" si="26"/>
        <v/>
      </c>
      <c r="V194" s="58" t="str">
        <f t="shared" si="23"/>
        <v/>
      </c>
      <c r="W194" s="57"/>
    </row>
    <row r="195" spans="1:23" s="59" customFormat="1" x14ac:dyDescent="0.25">
      <c r="A195" s="53"/>
      <c r="B195" s="54" t="str">
        <f>IF($B194="","",IF($B194+1&gt;dropdown!$D$12,"",Schema!B194+1))</f>
        <v/>
      </c>
      <c r="C195" s="55" t="str">
        <f>IF($B194="","",IF($B194+1&gt;dropdown!$D$12,"",EOMONTH(C194,0)+1))</f>
        <v/>
      </c>
      <c r="D195" s="53"/>
      <c r="E195" s="55" t="str">
        <f>IF($B194="","",IF($B194+1&gt;dropdown!$D$12,"",F194+1))</f>
        <v/>
      </c>
      <c r="F195" s="55" t="str">
        <f>IF($B194="","",IF($B194+1&gt;dropdown!$D$12,"",EOMONTH(E195,0)))</f>
        <v/>
      </c>
      <c r="G195" s="56" t="str">
        <f>IF($B194="","",IF($B194+1&gt;dropdown!$D$12,"",(_xlfn.DAYS(F195,E195)+1)/DAY(F195)))</f>
        <v/>
      </c>
      <c r="H195" s="57"/>
      <c r="I195" s="58" t="str">
        <f>IF($B194="","",IF($B194+1&gt;dropdown!$D$12,"",I194-J194))</f>
        <v/>
      </c>
      <c r="J195" s="58" t="str">
        <f>IF($B194="","",IF($B194+1&gt;dropdown!$D$12,"",IF(B194&lt;dropdown!$D$13,0,IF(Aflossingsmethode="Lineair",Aflossingsbedrag,IF(Aflossingsmethode="Annuïteit",IFERROR(Bedrag_annuïteit-K195,0),0)))))</f>
        <v/>
      </c>
      <c r="K195" s="58" t="str">
        <f>IF($B194="","",IF($B194+1&gt;dropdown!$D$12,"",G195*I195*Rentekosten))</f>
        <v/>
      </c>
      <c r="L195" s="58" t="str">
        <f t="shared" si="24"/>
        <v/>
      </c>
      <c r="M195" s="58" t="str">
        <f t="shared" si="18"/>
        <v/>
      </c>
      <c r="N195" s="57"/>
      <c r="O195" s="60" t="str">
        <f t="shared" si="19"/>
        <v/>
      </c>
      <c r="P195" s="60" t="str">
        <f t="shared" si="20"/>
        <v/>
      </c>
      <c r="Q195" s="60" t="str">
        <f t="shared" si="25"/>
        <v/>
      </c>
      <c r="R195" s="57"/>
      <c r="S195" s="58" t="str">
        <f t="shared" si="21"/>
        <v/>
      </c>
      <c r="T195" s="58" t="str">
        <f t="shared" si="22"/>
        <v/>
      </c>
      <c r="U195" s="61" t="str">
        <f t="shared" si="26"/>
        <v/>
      </c>
      <c r="V195" s="58" t="str">
        <f t="shared" si="23"/>
        <v/>
      </c>
      <c r="W195" s="57"/>
    </row>
    <row r="196" spans="1:23" s="59" customFormat="1" x14ac:dyDescent="0.25">
      <c r="A196" s="53"/>
      <c r="B196" s="54" t="str">
        <f>IF($B195="","",IF($B195+1&gt;dropdown!$D$12,"",Schema!B195+1))</f>
        <v/>
      </c>
      <c r="C196" s="55" t="str">
        <f>IF($B195="","",IF($B195+1&gt;dropdown!$D$12,"",EOMONTH(C195,0)+1))</f>
        <v/>
      </c>
      <c r="D196" s="53"/>
      <c r="E196" s="55" t="str">
        <f>IF($B195="","",IF($B195+1&gt;dropdown!$D$12,"",F195+1))</f>
        <v/>
      </c>
      <c r="F196" s="55" t="str">
        <f>IF($B195="","",IF($B195+1&gt;dropdown!$D$12,"",EOMONTH(E196,0)))</f>
        <v/>
      </c>
      <c r="G196" s="56" t="str">
        <f>IF($B195="","",IF($B195+1&gt;dropdown!$D$12,"",(_xlfn.DAYS(F196,E196)+1)/DAY(F196)))</f>
        <v/>
      </c>
      <c r="H196" s="57"/>
      <c r="I196" s="58" t="str">
        <f>IF($B195="","",IF($B195+1&gt;dropdown!$D$12,"",I195-J195))</f>
        <v/>
      </c>
      <c r="J196" s="58" t="str">
        <f>IF($B195="","",IF($B195+1&gt;dropdown!$D$12,"",IF(B195&lt;dropdown!$D$13,0,IF(Aflossingsmethode="Lineair",Aflossingsbedrag,IF(Aflossingsmethode="Annuïteit",IFERROR(Bedrag_annuïteit-K196,0),0)))))</f>
        <v/>
      </c>
      <c r="K196" s="58" t="str">
        <f>IF($B195="","",IF($B195+1&gt;dropdown!$D$12,"",G196*I196*Rentekosten))</f>
        <v/>
      </c>
      <c r="L196" s="58" t="str">
        <f t="shared" si="24"/>
        <v/>
      </c>
      <c r="M196" s="58" t="str">
        <f t="shared" si="18"/>
        <v/>
      </c>
      <c r="N196" s="57"/>
      <c r="O196" s="60" t="str">
        <f t="shared" si="19"/>
        <v/>
      </c>
      <c r="P196" s="60" t="str">
        <f t="shared" si="20"/>
        <v/>
      </c>
      <c r="Q196" s="60" t="str">
        <f t="shared" si="25"/>
        <v/>
      </c>
      <c r="R196" s="57"/>
      <c r="S196" s="58" t="str">
        <f t="shared" si="21"/>
        <v/>
      </c>
      <c r="T196" s="58" t="str">
        <f t="shared" si="22"/>
        <v/>
      </c>
      <c r="U196" s="61" t="str">
        <f t="shared" si="26"/>
        <v/>
      </c>
      <c r="V196" s="58" t="str">
        <f t="shared" si="23"/>
        <v/>
      </c>
      <c r="W196" s="57"/>
    </row>
    <row r="197" spans="1:23" s="59" customFormat="1" x14ac:dyDescent="0.25">
      <c r="A197" s="53"/>
      <c r="B197" s="54" t="str">
        <f>IF($B196="","",IF($B196+1&gt;dropdown!$D$12,"",Schema!B196+1))</f>
        <v/>
      </c>
      <c r="C197" s="55" t="str">
        <f>IF($B196="","",IF($B196+1&gt;dropdown!$D$12,"",EOMONTH(C196,0)+1))</f>
        <v/>
      </c>
      <c r="D197" s="53"/>
      <c r="E197" s="55" t="str">
        <f>IF($B196="","",IF($B196+1&gt;dropdown!$D$12,"",F196+1))</f>
        <v/>
      </c>
      <c r="F197" s="55" t="str">
        <f>IF($B196="","",IF($B196+1&gt;dropdown!$D$12,"",EOMONTH(E197,0)))</f>
        <v/>
      </c>
      <c r="G197" s="56" t="str">
        <f>IF($B196="","",IF($B196+1&gt;dropdown!$D$12,"",(_xlfn.DAYS(F197,E197)+1)/DAY(F197)))</f>
        <v/>
      </c>
      <c r="H197" s="57"/>
      <c r="I197" s="58" t="str">
        <f>IF($B196="","",IF($B196+1&gt;dropdown!$D$12,"",I196-J196))</f>
        <v/>
      </c>
      <c r="J197" s="58" t="str">
        <f>IF($B196="","",IF($B196+1&gt;dropdown!$D$12,"",IF(B196&lt;dropdown!$D$13,0,IF(Aflossingsmethode="Lineair",Aflossingsbedrag,IF(Aflossingsmethode="Annuïteit",IFERROR(Bedrag_annuïteit-K197,0),0)))))</f>
        <v/>
      </c>
      <c r="K197" s="58" t="str">
        <f>IF($B196="","",IF($B196+1&gt;dropdown!$D$12,"",G197*I197*Rentekosten))</f>
        <v/>
      </c>
      <c r="L197" s="58" t="str">
        <f t="shared" si="24"/>
        <v/>
      </c>
      <c r="M197" s="58" t="str">
        <f t="shared" si="18"/>
        <v/>
      </c>
      <c r="N197" s="57"/>
      <c r="O197" s="60" t="str">
        <f t="shared" si="19"/>
        <v/>
      </c>
      <c r="P197" s="60" t="str">
        <f t="shared" si="20"/>
        <v/>
      </c>
      <c r="Q197" s="60" t="str">
        <f t="shared" si="25"/>
        <v/>
      </c>
      <c r="R197" s="57"/>
      <c r="S197" s="58" t="str">
        <f t="shared" si="21"/>
        <v/>
      </c>
      <c r="T197" s="58" t="str">
        <f t="shared" si="22"/>
        <v/>
      </c>
      <c r="U197" s="61" t="str">
        <f t="shared" si="26"/>
        <v/>
      </c>
      <c r="V197" s="58" t="str">
        <f t="shared" si="23"/>
        <v/>
      </c>
      <c r="W197" s="57"/>
    </row>
    <row r="198" spans="1:23" s="59" customFormat="1" x14ac:dyDescent="0.25">
      <c r="A198" s="53"/>
      <c r="B198" s="54" t="str">
        <f>IF($B197="","",IF($B197+1&gt;dropdown!$D$12,"",Schema!B197+1))</f>
        <v/>
      </c>
      <c r="C198" s="55" t="str">
        <f>IF($B197="","",IF($B197+1&gt;dropdown!$D$12,"",EOMONTH(C197,0)+1))</f>
        <v/>
      </c>
      <c r="D198" s="53"/>
      <c r="E198" s="55" t="str">
        <f>IF($B197="","",IF($B197+1&gt;dropdown!$D$12,"",F197+1))</f>
        <v/>
      </c>
      <c r="F198" s="55" t="str">
        <f>IF($B197="","",IF($B197+1&gt;dropdown!$D$12,"",EOMONTH(E198,0)))</f>
        <v/>
      </c>
      <c r="G198" s="56" t="str">
        <f>IF($B197="","",IF($B197+1&gt;dropdown!$D$12,"",(_xlfn.DAYS(F198,E198)+1)/DAY(F198)))</f>
        <v/>
      </c>
      <c r="H198" s="57"/>
      <c r="I198" s="58" t="str">
        <f>IF($B197="","",IF($B197+1&gt;dropdown!$D$12,"",I197-J197))</f>
        <v/>
      </c>
      <c r="J198" s="58" t="str">
        <f>IF($B197="","",IF($B197+1&gt;dropdown!$D$12,"",IF(B197&lt;dropdown!$D$13,0,IF(Aflossingsmethode="Lineair",Aflossingsbedrag,IF(Aflossingsmethode="Annuïteit",IFERROR(Bedrag_annuïteit-K198,0),0)))))</f>
        <v/>
      </c>
      <c r="K198" s="58" t="str">
        <f>IF($B197="","",IF($B197+1&gt;dropdown!$D$12,"",G198*I198*Rentekosten))</f>
        <v/>
      </c>
      <c r="L198" s="58" t="str">
        <f t="shared" si="24"/>
        <v/>
      </c>
      <c r="M198" s="58" t="str">
        <f t="shared" si="18"/>
        <v/>
      </c>
      <c r="N198" s="57"/>
      <c r="O198" s="60" t="str">
        <f t="shared" si="19"/>
        <v/>
      </c>
      <c r="P198" s="60" t="str">
        <f t="shared" si="20"/>
        <v/>
      </c>
      <c r="Q198" s="60" t="str">
        <f t="shared" si="25"/>
        <v/>
      </c>
      <c r="R198" s="57"/>
      <c r="S198" s="58" t="str">
        <f t="shared" si="21"/>
        <v/>
      </c>
      <c r="T198" s="58" t="str">
        <f t="shared" si="22"/>
        <v/>
      </c>
      <c r="U198" s="61" t="str">
        <f t="shared" si="26"/>
        <v/>
      </c>
      <c r="V198" s="58" t="str">
        <f t="shared" si="23"/>
        <v/>
      </c>
      <c r="W198" s="57"/>
    </row>
    <row r="199" spans="1:23" s="59" customFormat="1" x14ac:dyDescent="0.25">
      <c r="A199" s="53"/>
      <c r="B199" s="54" t="str">
        <f>IF($B198="","",IF($B198+1&gt;dropdown!$D$12,"",Schema!B198+1))</f>
        <v/>
      </c>
      <c r="C199" s="55" t="str">
        <f>IF($B198="","",IF($B198+1&gt;dropdown!$D$12,"",EOMONTH(C198,0)+1))</f>
        <v/>
      </c>
      <c r="D199" s="53"/>
      <c r="E199" s="55" t="str">
        <f>IF($B198="","",IF($B198+1&gt;dropdown!$D$12,"",F198+1))</f>
        <v/>
      </c>
      <c r="F199" s="55" t="str">
        <f>IF($B198="","",IF($B198+1&gt;dropdown!$D$12,"",EOMONTH(E199,0)))</f>
        <v/>
      </c>
      <c r="G199" s="56" t="str">
        <f>IF($B198="","",IF($B198+1&gt;dropdown!$D$12,"",(_xlfn.DAYS(F199,E199)+1)/DAY(F199)))</f>
        <v/>
      </c>
      <c r="H199" s="57"/>
      <c r="I199" s="58" t="str">
        <f>IF($B198="","",IF($B198+1&gt;dropdown!$D$12,"",I198-J198))</f>
        <v/>
      </c>
      <c r="J199" s="58" t="str">
        <f>IF($B198="","",IF($B198+1&gt;dropdown!$D$12,"",IF(B198&lt;dropdown!$D$13,0,IF(Aflossingsmethode="Lineair",Aflossingsbedrag,IF(Aflossingsmethode="Annuïteit",IFERROR(Bedrag_annuïteit-K199,0),0)))))</f>
        <v/>
      </c>
      <c r="K199" s="58" t="str">
        <f>IF($B198="","",IF($B198+1&gt;dropdown!$D$12,"",G199*I199*Rentekosten))</f>
        <v/>
      </c>
      <c r="L199" s="58" t="str">
        <f t="shared" si="24"/>
        <v/>
      </c>
      <c r="M199" s="58" t="str">
        <f t="shared" si="18"/>
        <v/>
      </c>
      <c r="N199" s="57"/>
      <c r="O199" s="60" t="str">
        <f t="shared" si="19"/>
        <v/>
      </c>
      <c r="P199" s="60" t="str">
        <f t="shared" si="20"/>
        <v/>
      </c>
      <c r="Q199" s="60" t="str">
        <f t="shared" si="25"/>
        <v/>
      </c>
      <c r="R199" s="57"/>
      <c r="S199" s="58" t="str">
        <f t="shared" si="21"/>
        <v/>
      </c>
      <c r="T199" s="58" t="str">
        <f t="shared" si="22"/>
        <v/>
      </c>
      <c r="U199" s="61" t="str">
        <f t="shared" si="26"/>
        <v/>
      </c>
      <c r="V199" s="58" t="str">
        <f t="shared" si="23"/>
        <v/>
      </c>
      <c r="W199" s="57"/>
    </row>
    <row r="200" spans="1:23" s="59" customFormat="1" x14ac:dyDescent="0.25">
      <c r="A200" s="53"/>
      <c r="B200" s="54" t="str">
        <f>IF($B199="","",IF($B199+1&gt;dropdown!$D$12,"",Schema!B199+1))</f>
        <v/>
      </c>
      <c r="C200" s="55" t="str">
        <f>IF($B199="","",IF($B199+1&gt;dropdown!$D$12,"",EOMONTH(C199,0)+1))</f>
        <v/>
      </c>
      <c r="D200" s="53"/>
      <c r="E200" s="55" t="str">
        <f>IF($B199="","",IF($B199+1&gt;dropdown!$D$12,"",F199+1))</f>
        <v/>
      </c>
      <c r="F200" s="55" t="str">
        <f>IF($B199="","",IF($B199+1&gt;dropdown!$D$12,"",EOMONTH(E200,0)))</f>
        <v/>
      </c>
      <c r="G200" s="56" t="str">
        <f>IF($B199="","",IF($B199+1&gt;dropdown!$D$12,"",(_xlfn.DAYS(F200,E200)+1)/DAY(F200)))</f>
        <v/>
      </c>
      <c r="H200" s="57"/>
      <c r="I200" s="58" t="str">
        <f>IF($B199="","",IF($B199+1&gt;dropdown!$D$12,"",I199-J199))</f>
        <v/>
      </c>
      <c r="J200" s="58" t="str">
        <f>IF($B199="","",IF($B199+1&gt;dropdown!$D$12,"",IF(B199&lt;dropdown!$D$13,0,IF(Aflossingsmethode="Lineair",Aflossingsbedrag,IF(Aflossingsmethode="Annuïteit",IFERROR(Bedrag_annuïteit-K200,0),0)))))</f>
        <v/>
      </c>
      <c r="K200" s="58" t="str">
        <f>IF($B199="","",IF($B199+1&gt;dropdown!$D$12,"",G200*I200*Rentekosten))</f>
        <v/>
      </c>
      <c r="L200" s="58" t="str">
        <f t="shared" si="24"/>
        <v/>
      </c>
      <c r="M200" s="58" t="str">
        <f t="shared" si="18"/>
        <v/>
      </c>
      <c r="N200" s="57"/>
      <c r="O200" s="60" t="str">
        <f t="shared" si="19"/>
        <v/>
      </c>
      <c r="P200" s="60" t="str">
        <f t="shared" si="20"/>
        <v/>
      </c>
      <c r="Q200" s="60" t="str">
        <f t="shared" si="25"/>
        <v/>
      </c>
      <c r="R200" s="57"/>
      <c r="S200" s="58" t="str">
        <f t="shared" si="21"/>
        <v/>
      </c>
      <c r="T200" s="58" t="str">
        <f t="shared" si="22"/>
        <v/>
      </c>
      <c r="U200" s="61" t="str">
        <f t="shared" si="26"/>
        <v/>
      </c>
      <c r="V200" s="58" t="str">
        <f t="shared" si="23"/>
        <v/>
      </c>
      <c r="W200" s="57"/>
    </row>
    <row r="201" spans="1:23" s="59" customFormat="1" x14ac:dyDescent="0.25">
      <c r="A201" s="53"/>
      <c r="B201" s="54" t="str">
        <f>IF($B200="","",IF($B200+1&gt;dropdown!$D$12,"",Schema!B200+1))</f>
        <v/>
      </c>
      <c r="C201" s="55" t="str">
        <f>IF($B200="","",IF($B200+1&gt;dropdown!$D$12,"",EOMONTH(C200,0)+1))</f>
        <v/>
      </c>
      <c r="D201" s="53"/>
      <c r="E201" s="55" t="str">
        <f>IF($B200="","",IF($B200+1&gt;dropdown!$D$12,"",F200+1))</f>
        <v/>
      </c>
      <c r="F201" s="55" t="str">
        <f>IF($B200="","",IF($B200+1&gt;dropdown!$D$12,"",EOMONTH(E201,0)))</f>
        <v/>
      </c>
      <c r="G201" s="56" t="str">
        <f>IF($B200="","",IF($B200+1&gt;dropdown!$D$12,"",(_xlfn.DAYS(F201,E201)+1)/DAY(F201)))</f>
        <v/>
      </c>
      <c r="H201" s="57"/>
      <c r="I201" s="58" t="str">
        <f>IF($B200="","",IF($B200+1&gt;dropdown!$D$12,"",I200-J200))</f>
        <v/>
      </c>
      <c r="J201" s="58" t="str">
        <f>IF($B200="","",IF($B200+1&gt;dropdown!$D$12,"",IF(B200&lt;dropdown!$D$13,0,IF(Aflossingsmethode="Lineair",Aflossingsbedrag,IF(Aflossingsmethode="Annuïteit",IFERROR(Bedrag_annuïteit-K201,0),0)))))</f>
        <v/>
      </c>
      <c r="K201" s="58" t="str">
        <f>IF($B200="","",IF($B200+1&gt;dropdown!$D$12,"",G201*I201*Rentekosten))</f>
        <v/>
      </c>
      <c r="L201" s="58" t="str">
        <f t="shared" si="24"/>
        <v/>
      </c>
      <c r="M201" s="58" t="str">
        <f t="shared" si="18"/>
        <v/>
      </c>
      <c r="N201" s="57"/>
      <c r="O201" s="60" t="str">
        <f t="shared" si="19"/>
        <v/>
      </c>
      <c r="P201" s="60" t="str">
        <f t="shared" si="20"/>
        <v/>
      </c>
      <c r="Q201" s="60" t="str">
        <f t="shared" si="25"/>
        <v/>
      </c>
      <c r="R201" s="57"/>
      <c r="S201" s="58" t="str">
        <f t="shared" si="21"/>
        <v/>
      </c>
      <c r="T201" s="58" t="str">
        <f t="shared" si="22"/>
        <v/>
      </c>
      <c r="U201" s="61" t="str">
        <f t="shared" si="26"/>
        <v/>
      </c>
      <c r="V201" s="58" t="str">
        <f t="shared" si="23"/>
        <v/>
      </c>
      <c r="W201" s="57"/>
    </row>
    <row r="202" spans="1:23" s="59" customFormat="1" x14ac:dyDescent="0.25">
      <c r="A202" s="53"/>
      <c r="B202" s="54" t="str">
        <f>IF($B201="","",IF($B201+1&gt;dropdown!$D$12,"",Schema!B201+1))</f>
        <v/>
      </c>
      <c r="C202" s="55" t="str">
        <f>IF($B201="","",IF($B201+1&gt;dropdown!$D$12,"",EOMONTH(C201,0)+1))</f>
        <v/>
      </c>
      <c r="D202" s="53"/>
      <c r="E202" s="55" t="str">
        <f>IF($B201="","",IF($B201+1&gt;dropdown!$D$12,"",F201+1))</f>
        <v/>
      </c>
      <c r="F202" s="55" t="str">
        <f>IF($B201="","",IF($B201+1&gt;dropdown!$D$12,"",EOMONTH(E202,0)))</f>
        <v/>
      </c>
      <c r="G202" s="56" t="str">
        <f>IF($B201="","",IF($B201+1&gt;dropdown!$D$12,"",(_xlfn.DAYS(F202,E202)+1)/DAY(F202)))</f>
        <v/>
      </c>
      <c r="H202" s="57"/>
      <c r="I202" s="58" t="str">
        <f>IF($B201="","",IF($B201+1&gt;dropdown!$D$12,"",I201-J201))</f>
        <v/>
      </c>
      <c r="J202" s="58" t="str">
        <f>IF($B201="","",IF($B201+1&gt;dropdown!$D$12,"",IF(B201&lt;dropdown!$D$13,0,IF(Aflossingsmethode="Lineair",Aflossingsbedrag,IF(Aflossingsmethode="Annuïteit",IFERROR(Bedrag_annuïteit-K202,0),0)))))</f>
        <v/>
      </c>
      <c r="K202" s="58" t="str">
        <f>IF($B201="","",IF($B201+1&gt;dropdown!$D$12,"",G202*I202*Rentekosten))</f>
        <v/>
      </c>
      <c r="L202" s="58" t="str">
        <f t="shared" si="24"/>
        <v/>
      </c>
      <c r="M202" s="58" t="str">
        <f t="shared" ref="M202:M265" si="27">IF(S202="","",-K202-J202)</f>
        <v/>
      </c>
      <c r="N202" s="57"/>
      <c r="O202" s="60" t="str">
        <f t="shared" ref="O202:O265" si="28">IF($B202="","",Rentekosten)</f>
        <v/>
      </c>
      <c r="P202" s="60" t="str">
        <f t="shared" ref="P202:P265" si="29">IF($B202="","",Rentekosten*(POWER(1+Rentekosten,$B202-1+1)))</f>
        <v/>
      </c>
      <c r="Q202" s="60" t="str">
        <f t="shared" si="25"/>
        <v/>
      </c>
      <c r="R202" s="57"/>
      <c r="S202" s="58" t="str">
        <f t="shared" ref="S202:S265" si="30">IF(B202="","",IF(S201-T201&lt;0,"",S201-T201))</f>
        <v/>
      </c>
      <c r="T202" s="58" t="str">
        <f t="shared" ref="T202:T265" si="31">IF(S202="","",J202/(POWER(1+Rentekosten,$B202-1+1)))</f>
        <v/>
      </c>
      <c r="U202" s="61" t="str">
        <f t="shared" si="26"/>
        <v/>
      </c>
      <c r="V202" s="58" t="str">
        <f t="shared" ref="V202:V265" si="32">IF($B202="","",K202/(POWER(1+Rentekosten,$B202-1+1)))</f>
        <v/>
      </c>
      <c r="W202" s="57"/>
    </row>
    <row r="203" spans="1:23" s="59" customFormat="1" x14ac:dyDescent="0.25">
      <c r="A203" s="53"/>
      <c r="B203" s="54" t="str">
        <f>IF($B202="","",IF($B202+1&gt;dropdown!$D$12,"",Schema!B202+1))</f>
        <v/>
      </c>
      <c r="C203" s="55" t="str">
        <f>IF($B202="","",IF($B202+1&gt;dropdown!$D$12,"",EOMONTH(C202,0)+1))</f>
        <v/>
      </c>
      <c r="D203" s="53"/>
      <c r="E203" s="55" t="str">
        <f>IF($B202="","",IF($B202+1&gt;dropdown!$D$12,"",F202+1))</f>
        <v/>
      </c>
      <c r="F203" s="55" t="str">
        <f>IF($B202="","",IF($B202+1&gt;dropdown!$D$12,"",EOMONTH(E203,0)))</f>
        <v/>
      </c>
      <c r="G203" s="56" t="str">
        <f>IF($B202="","",IF($B202+1&gt;dropdown!$D$12,"",(_xlfn.DAYS(F203,E203)+1)/DAY(F203)))</f>
        <v/>
      </c>
      <c r="H203" s="57"/>
      <c r="I203" s="58" t="str">
        <f>IF($B202="","",IF($B202+1&gt;dropdown!$D$12,"",I202-J202))</f>
        <v/>
      </c>
      <c r="J203" s="58" t="str">
        <f>IF($B202="","",IF($B202+1&gt;dropdown!$D$12,"",IF(B202&lt;dropdown!$D$13,0,IF(Aflossingsmethode="Lineair",Aflossingsbedrag,IF(Aflossingsmethode="Annuïteit",IFERROR(Bedrag_annuïteit-K203,0),0)))))</f>
        <v/>
      </c>
      <c r="K203" s="58" t="str">
        <f>IF($B202="","",IF($B202+1&gt;dropdown!$D$12,"",G203*I203*Rentekosten))</f>
        <v/>
      </c>
      <c r="L203" s="58" t="str">
        <f t="shared" ref="L203:L266" si="33">IF(S203="","",-K203-J203)</f>
        <v/>
      </c>
      <c r="M203" s="58" t="str">
        <f t="shared" si="27"/>
        <v/>
      </c>
      <c r="N203" s="57"/>
      <c r="O203" s="60" t="str">
        <f t="shared" si="28"/>
        <v/>
      </c>
      <c r="P203" s="60" t="str">
        <f t="shared" si="29"/>
        <v/>
      </c>
      <c r="Q203" s="60" t="str">
        <f t="shared" ref="Q203:Q266" si="34">IF($B203="","",IFERROR(J203/T203-1,0))</f>
        <v/>
      </c>
      <c r="R203" s="57"/>
      <c r="S203" s="58" t="str">
        <f t="shared" si="30"/>
        <v/>
      </c>
      <c r="T203" s="58" t="str">
        <f t="shared" si="31"/>
        <v/>
      </c>
      <c r="U203" s="61" t="str">
        <f t="shared" ref="U203:U266" si="35">IF(S203="","",T203+V203)</f>
        <v/>
      </c>
      <c r="V203" s="58" t="str">
        <f t="shared" si="32"/>
        <v/>
      </c>
      <c r="W203" s="57"/>
    </row>
    <row r="204" spans="1:23" s="59" customFormat="1" x14ac:dyDescent="0.25">
      <c r="A204" s="53"/>
      <c r="B204" s="54" t="str">
        <f>IF($B203="","",IF($B203+1&gt;dropdown!$D$12,"",Schema!B203+1))</f>
        <v/>
      </c>
      <c r="C204" s="55" t="str">
        <f>IF($B203="","",IF($B203+1&gt;dropdown!$D$12,"",EOMONTH(C203,0)+1))</f>
        <v/>
      </c>
      <c r="D204" s="53"/>
      <c r="E204" s="55" t="str">
        <f>IF($B203="","",IF($B203+1&gt;dropdown!$D$12,"",F203+1))</f>
        <v/>
      </c>
      <c r="F204" s="55" t="str">
        <f>IF($B203="","",IF($B203+1&gt;dropdown!$D$12,"",EOMONTH(E204,0)))</f>
        <v/>
      </c>
      <c r="G204" s="56" t="str">
        <f>IF($B203="","",IF($B203+1&gt;dropdown!$D$12,"",(_xlfn.DAYS(F204,E204)+1)/DAY(F204)))</f>
        <v/>
      </c>
      <c r="H204" s="57"/>
      <c r="I204" s="58" t="str">
        <f>IF($B203="","",IF($B203+1&gt;dropdown!$D$12,"",I203-J203))</f>
        <v/>
      </c>
      <c r="J204" s="58" t="str">
        <f>IF($B203="","",IF($B203+1&gt;dropdown!$D$12,"",IF(B203&lt;dropdown!$D$13,0,IF(Aflossingsmethode="Lineair",Aflossingsbedrag,IF(Aflossingsmethode="Annuïteit",IFERROR(Bedrag_annuïteit-K204,0),0)))))</f>
        <v/>
      </c>
      <c r="K204" s="58" t="str">
        <f>IF($B203="","",IF($B203+1&gt;dropdown!$D$12,"",G204*I204*Rentekosten))</f>
        <v/>
      </c>
      <c r="L204" s="58" t="str">
        <f t="shared" si="33"/>
        <v/>
      </c>
      <c r="M204" s="58" t="str">
        <f t="shared" si="27"/>
        <v/>
      </c>
      <c r="N204" s="57"/>
      <c r="O204" s="60" t="str">
        <f t="shared" si="28"/>
        <v/>
      </c>
      <c r="P204" s="60" t="str">
        <f t="shared" si="29"/>
        <v/>
      </c>
      <c r="Q204" s="60" t="str">
        <f t="shared" si="34"/>
        <v/>
      </c>
      <c r="R204" s="57"/>
      <c r="S204" s="58" t="str">
        <f t="shared" si="30"/>
        <v/>
      </c>
      <c r="T204" s="58" t="str">
        <f t="shared" si="31"/>
        <v/>
      </c>
      <c r="U204" s="61" t="str">
        <f t="shared" si="35"/>
        <v/>
      </c>
      <c r="V204" s="58" t="str">
        <f t="shared" si="32"/>
        <v/>
      </c>
      <c r="W204" s="57"/>
    </row>
    <row r="205" spans="1:23" s="59" customFormat="1" x14ac:dyDescent="0.25">
      <c r="A205" s="53"/>
      <c r="B205" s="54" t="str">
        <f>IF($B204="","",IF($B204+1&gt;dropdown!$D$12,"",Schema!B204+1))</f>
        <v/>
      </c>
      <c r="C205" s="55" t="str">
        <f>IF($B204="","",IF($B204+1&gt;dropdown!$D$12,"",EOMONTH(C204,0)+1))</f>
        <v/>
      </c>
      <c r="D205" s="53"/>
      <c r="E205" s="55" t="str">
        <f>IF($B204="","",IF($B204+1&gt;dropdown!$D$12,"",F204+1))</f>
        <v/>
      </c>
      <c r="F205" s="55" t="str">
        <f>IF($B204="","",IF($B204+1&gt;dropdown!$D$12,"",EOMONTH(E205,0)))</f>
        <v/>
      </c>
      <c r="G205" s="56" t="str">
        <f>IF($B204="","",IF($B204+1&gt;dropdown!$D$12,"",(_xlfn.DAYS(F205,E205)+1)/DAY(F205)))</f>
        <v/>
      </c>
      <c r="H205" s="57"/>
      <c r="I205" s="58" t="str">
        <f>IF($B204="","",IF($B204+1&gt;dropdown!$D$12,"",I204-J204))</f>
        <v/>
      </c>
      <c r="J205" s="58" t="str">
        <f>IF($B204="","",IF($B204+1&gt;dropdown!$D$12,"",IF(B204&lt;dropdown!$D$13,0,IF(Aflossingsmethode="Lineair",Aflossingsbedrag,IF(Aflossingsmethode="Annuïteit",IFERROR(Bedrag_annuïteit-K205,0),0)))))</f>
        <v/>
      </c>
      <c r="K205" s="58" t="str">
        <f>IF($B204="","",IF($B204+1&gt;dropdown!$D$12,"",G205*I205*Rentekosten))</f>
        <v/>
      </c>
      <c r="L205" s="58" t="str">
        <f t="shared" si="33"/>
        <v/>
      </c>
      <c r="M205" s="58" t="str">
        <f t="shared" si="27"/>
        <v/>
      </c>
      <c r="N205" s="57"/>
      <c r="O205" s="60" t="str">
        <f t="shared" si="28"/>
        <v/>
      </c>
      <c r="P205" s="60" t="str">
        <f t="shared" si="29"/>
        <v/>
      </c>
      <c r="Q205" s="60" t="str">
        <f t="shared" si="34"/>
        <v/>
      </c>
      <c r="R205" s="57"/>
      <c r="S205" s="58" t="str">
        <f t="shared" si="30"/>
        <v/>
      </c>
      <c r="T205" s="58" t="str">
        <f t="shared" si="31"/>
        <v/>
      </c>
      <c r="U205" s="61" t="str">
        <f t="shared" si="35"/>
        <v/>
      </c>
      <c r="V205" s="58" t="str">
        <f t="shared" si="32"/>
        <v/>
      </c>
      <c r="W205" s="57"/>
    </row>
    <row r="206" spans="1:23" s="59" customFormat="1" x14ac:dyDescent="0.25">
      <c r="A206" s="53"/>
      <c r="B206" s="54" t="str">
        <f>IF($B205="","",IF($B205+1&gt;dropdown!$D$12,"",Schema!B205+1))</f>
        <v/>
      </c>
      <c r="C206" s="55" t="str">
        <f>IF($B205="","",IF($B205+1&gt;dropdown!$D$12,"",EOMONTH(C205,0)+1))</f>
        <v/>
      </c>
      <c r="D206" s="53"/>
      <c r="E206" s="55" t="str">
        <f>IF($B205="","",IF($B205+1&gt;dropdown!$D$12,"",F205+1))</f>
        <v/>
      </c>
      <c r="F206" s="55" t="str">
        <f>IF($B205="","",IF($B205+1&gt;dropdown!$D$12,"",EOMONTH(E206,0)))</f>
        <v/>
      </c>
      <c r="G206" s="56" t="str">
        <f>IF($B205="","",IF($B205+1&gt;dropdown!$D$12,"",(_xlfn.DAYS(F206,E206)+1)/DAY(F206)))</f>
        <v/>
      </c>
      <c r="H206" s="57"/>
      <c r="I206" s="58" t="str">
        <f>IF($B205="","",IF($B205+1&gt;dropdown!$D$12,"",I205-J205))</f>
        <v/>
      </c>
      <c r="J206" s="58" t="str">
        <f>IF($B205="","",IF($B205+1&gt;dropdown!$D$12,"",IF(B205&lt;dropdown!$D$13,0,IF(Aflossingsmethode="Lineair",Aflossingsbedrag,IF(Aflossingsmethode="Annuïteit",IFERROR(Bedrag_annuïteit-K206,0),0)))))</f>
        <v/>
      </c>
      <c r="K206" s="58" t="str">
        <f>IF($B205="","",IF($B205+1&gt;dropdown!$D$12,"",G206*I206*Rentekosten))</f>
        <v/>
      </c>
      <c r="L206" s="58" t="str">
        <f t="shared" si="33"/>
        <v/>
      </c>
      <c r="M206" s="58" t="str">
        <f t="shared" si="27"/>
        <v/>
      </c>
      <c r="N206" s="57"/>
      <c r="O206" s="60" t="str">
        <f t="shared" si="28"/>
        <v/>
      </c>
      <c r="P206" s="60" t="str">
        <f t="shared" si="29"/>
        <v/>
      </c>
      <c r="Q206" s="60" t="str">
        <f t="shared" si="34"/>
        <v/>
      </c>
      <c r="R206" s="57"/>
      <c r="S206" s="58" t="str">
        <f t="shared" si="30"/>
        <v/>
      </c>
      <c r="T206" s="58" t="str">
        <f t="shared" si="31"/>
        <v/>
      </c>
      <c r="U206" s="61" t="str">
        <f t="shared" si="35"/>
        <v/>
      </c>
      <c r="V206" s="58" t="str">
        <f t="shared" si="32"/>
        <v/>
      </c>
      <c r="W206" s="57"/>
    </row>
    <row r="207" spans="1:23" s="59" customFormat="1" x14ac:dyDescent="0.25">
      <c r="A207" s="53"/>
      <c r="B207" s="54" t="str">
        <f>IF($B206="","",IF($B206+1&gt;dropdown!$D$12,"",Schema!B206+1))</f>
        <v/>
      </c>
      <c r="C207" s="55" t="str">
        <f>IF($B206="","",IF($B206+1&gt;dropdown!$D$12,"",EOMONTH(C206,0)+1))</f>
        <v/>
      </c>
      <c r="D207" s="53"/>
      <c r="E207" s="55" t="str">
        <f>IF($B206="","",IF($B206+1&gt;dropdown!$D$12,"",F206+1))</f>
        <v/>
      </c>
      <c r="F207" s="55" t="str">
        <f>IF($B206="","",IF($B206+1&gt;dropdown!$D$12,"",EOMONTH(E207,0)))</f>
        <v/>
      </c>
      <c r="G207" s="56" t="str">
        <f>IF($B206="","",IF($B206+1&gt;dropdown!$D$12,"",(_xlfn.DAYS(F207,E207)+1)/DAY(F207)))</f>
        <v/>
      </c>
      <c r="H207" s="57"/>
      <c r="I207" s="58" t="str">
        <f>IF($B206="","",IF($B206+1&gt;dropdown!$D$12,"",I206-J206))</f>
        <v/>
      </c>
      <c r="J207" s="58" t="str">
        <f>IF($B206="","",IF($B206+1&gt;dropdown!$D$12,"",IF(B206&lt;dropdown!$D$13,0,IF(Aflossingsmethode="Lineair",Aflossingsbedrag,IF(Aflossingsmethode="Annuïteit",IFERROR(Bedrag_annuïteit-K207,0),0)))))</f>
        <v/>
      </c>
      <c r="K207" s="58" t="str">
        <f>IF($B206="","",IF($B206+1&gt;dropdown!$D$12,"",G207*I207*Rentekosten))</f>
        <v/>
      </c>
      <c r="L207" s="58" t="str">
        <f t="shared" si="33"/>
        <v/>
      </c>
      <c r="M207" s="58" t="str">
        <f t="shared" si="27"/>
        <v/>
      </c>
      <c r="N207" s="57"/>
      <c r="O207" s="60" t="str">
        <f t="shared" si="28"/>
        <v/>
      </c>
      <c r="P207" s="60" t="str">
        <f t="shared" si="29"/>
        <v/>
      </c>
      <c r="Q207" s="60" t="str">
        <f t="shared" si="34"/>
        <v/>
      </c>
      <c r="R207" s="57"/>
      <c r="S207" s="58" t="str">
        <f t="shared" si="30"/>
        <v/>
      </c>
      <c r="T207" s="58" t="str">
        <f t="shared" si="31"/>
        <v/>
      </c>
      <c r="U207" s="61" t="str">
        <f t="shared" si="35"/>
        <v/>
      </c>
      <c r="V207" s="58" t="str">
        <f t="shared" si="32"/>
        <v/>
      </c>
      <c r="W207" s="57"/>
    </row>
    <row r="208" spans="1:23" s="59" customFormat="1" x14ac:dyDescent="0.25">
      <c r="A208" s="53"/>
      <c r="B208" s="54" t="str">
        <f>IF($B207="","",IF($B207+1&gt;dropdown!$D$12,"",Schema!B207+1))</f>
        <v/>
      </c>
      <c r="C208" s="55" t="str">
        <f>IF($B207="","",IF($B207+1&gt;dropdown!$D$12,"",EOMONTH(C207,0)+1))</f>
        <v/>
      </c>
      <c r="D208" s="53"/>
      <c r="E208" s="55" t="str">
        <f>IF($B207="","",IF($B207+1&gt;dropdown!$D$12,"",F207+1))</f>
        <v/>
      </c>
      <c r="F208" s="55" t="str">
        <f>IF($B207="","",IF($B207+1&gt;dropdown!$D$12,"",EOMONTH(E208,0)))</f>
        <v/>
      </c>
      <c r="G208" s="56" t="str">
        <f>IF($B207="","",IF($B207+1&gt;dropdown!$D$12,"",(_xlfn.DAYS(F208,E208)+1)/DAY(F208)))</f>
        <v/>
      </c>
      <c r="H208" s="57"/>
      <c r="I208" s="58" t="str">
        <f>IF($B207="","",IF($B207+1&gt;dropdown!$D$12,"",I207-J207))</f>
        <v/>
      </c>
      <c r="J208" s="58" t="str">
        <f>IF($B207="","",IF($B207+1&gt;dropdown!$D$12,"",IF(B207&lt;dropdown!$D$13,0,IF(Aflossingsmethode="Lineair",Aflossingsbedrag,IF(Aflossingsmethode="Annuïteit",IFERROR(Bedrag_annuïteit-K208,0),0)))))</f>
        <v/>
      </c>
      <c r="K208" s="58" t="str">
        <f>IF($B207="","",IF($B207+1&gt;dropdown!$D$12,"",G208*I208*Rentekosten))</f>
        <v/>
      </c>
      <c r="L208" s="58" t="str">
        <f t="shared" si="33"/>
        <v/>
      </c>
      <c r="M208" s="58" t="str">
        <f t="shared" si="27"/>
        <v/>
      </c>
      <c r="N208" s="57"/>
      <c r="O208" s="60" t="str">
        <f t="shared" si="28"/>
        <v/>
      </c>
      <c r="P208" s="60" t="str">
        <f t="shared" si="29"/>
        <v/>
      </c>
      <c r="Q208" s="60" t="str">
        <f t="shared" si="34"/>
        <v/>
      </c>
      <c r="R208" s="57"/>
      <c r="S208" s="58" t="str">
        <f t="shared" si="30"/>
        <v/>
      </c>
      <c r="T208" s="58" t="str">
        <f t="shared" si="31"/>
        <v/>
      </c>
      <c r="U208" s="61" t="str">
        <f t="shared" si="35"/>
        <v/>
      </c>
      <c r="V208" s="58" t="str">
        <f t="shared" si="32"/>
        <v/>
      </c>
      <c r="W208" s="57"/>
    </row>
    <row r="209" spans="1:23" s="59" customFormat="1" x14ac:dyDescent="0.25">
      <c r="A209" s="53"/>
      <c r="B209" s="54" t="str">
        <f>IF($B208="","",IF($B208+1&gt;dropdown!$D$12,"",Schema!B208+1))</f>
        <v/>
      </c>
      <c r="C209" s="55" t="str">
        <f>IF($B208="","",IF($B208+1&gt;dropdown!$D$12,"",EOMONTH(C208,0)+1))</f>
        <v/>
      </c>
      <c r="D209" s="53"/>
      <c r="E209" s="55" t="str">
        <f>IF($B208="","",IF($B208+1&gt;dropdown!$D$12,"",F208+1))</f>
        <v/>
      </c>
      <c r="F209" s="55" t="str">
        <f>IF($B208="","",IF($B208+1&gt;dropdown!$D$12,"",EOMONTH(E209,0)))</f>
        <v/>
      </c>
      <c r="G209" s="56" t="str">
        <f>IF($B208="","",IF($B208+1&gt;dropdown!$D$12,"",(_xlfn.DAYS(F209,E209)+1)/DAY(F209)))</f>
        <v/>
      </c>
      <c r="H209" s="57"/>
      <c r="I209" s="58" t="str">
        <f>IF($B208="","",IF($B208+1&gt;dropdown!$D$12,"",I208-J208))</f>
        <v/>
      </c>
      <c r="J209" s="58" t="str">
        <f>IF($B208="","",IF($B208+1&gt;dropdown!$D$12,"",IF(B208&lt;dropdown!$D$13,0,IF(Aflossingsmethode="Lineair",Aflossingsbedrag,IF(Aflossingsmethode="Annuïteit",IFERROR(Bedrag_annuïteit-K209,0),0)))))</f>
        <v/>
      </c>
      <c r="K209" s="58" t="str">
        <f>IF($B208="","",IF($B208+1&gt;dropdown!$D$12,"",G209*I209*Rentekosten))</f>
        <v/>
      </c>
      <c r="L209" s="58" t="str">
        <f t="shared" si="33"/>
        <v/>
      </c>
      <c r="M209" s="58" t="str">
        <f t="shared" si="27"/>
        <v/>
      </c>
      <c r="N209" s="57"/>
      <c r="O209" s="60" t="str">
        <f t="shared" si="28"/>
        <v/>
      </c>
      <c r="P209" s="60" t="str">
        <f t="shared" si="29"/>
        <v/>
      </c>
      <c r="Q209" s="60" t="str">
        <f t="shared" si="34"/>
        <v/>
      </c>
      <c r="R209" s="57"/>
      <c r="S209" s="58" t="str">
        <f t="shared" si="30"/>
        <v/>
      </c>
      <c r="T209" s="58" t="str">
        <f t="shared" si="31"/>
        <v/>
      </c>
      <c r="U209" s="61" t="str">
        <f t="shared" si="35"/>
        <v/>
      </c>
      <c r="V209" s="58" t="str">
        <f t="shared" si="32"/>
        <v/>
      </c>
      <c r="W209" s="57"/>
    </row>
    <row r="210" spans="1:23" s="59" customFormat="1" x14ac:dyDescent="0.25">
      <c r="A210" s="53"/>
      <c r="B210" s="54" t="str">
        <f>IF($B209="","",IF($B209+1&gt;dropdown!$D$12,"",Schema!B209+1))</f>
        <v/>
      </c>
      <c r="C210" s="55" t="str">
        <f>IF($B209="","",IF($B209+1&gt;dropdown!$D$12,"",EOMONTH(C209,0)+1))</f>
        <v/>
      </c>
      <c r="D210" s="53"/>
      <c r="E210" s="55" t="str">
        <f>IF($B209="","",IF($B209+1&gt;dropdown!$D$12,"",F209+1))</f>
        <v/>
      </c>
      <c r="F210" s="55" t="str">
        <f>IF($B209="","",IF($B209+1&gt;dropdown!$D$12,"",EOMONTH(E210,0)))</f>
        <v/>
      </c>
      <c r="G210" s="56" t="str">
        <f>IF($B209="","",IF($B209+1&gt;dropdown!$D$12,"",(_xlfn.DAYS(F210,E210)+1)/DAY(F210)))</f>
        <v/>
      </c>
      <c r="H210" s="57"/>
      <c r="I210" s="58" t="str">
        <f>IF($B209="","",IF($B209+1&gt;dropdown!$D$12,"",I209-J209))</f>
        <v/>
      </c>
      <c r="J210" s="58" t="str">
        <f>IF($B209="","",IF($B209+1&gt;dropdown!$D$12,"",IF(B209&lt;dropdown!$D$13,0,IF(Aflossingsmethode="Lineair",Aflossingsbedrag,IF(Aflossingsmethode="Annuïteit",IFERROR(Bedrag_annuïteit-K210,0),0)))))</f>
        <v/>
      </c>
      <c r="K210" s="58" t="str">
        <f>IF($B209="","",IF($B209+1&gt;dropdown!$D$12,"",G210*I210*Rentekosten))</f>
        <v/>
      </c>
      <c r="L210" s="58" t="str">
        <f t="shared" si="33"/>
        <v/>
      </c>
      <c r="M210" s="58" t="str">
        <f t="shared" si="27"/>
        <v/>
      </c>
      <c r="N210" s="57"/>
      <c r="O210" s="60" t="str">
        <f t="shared" si="28"/>
        <v/>
      </c>
      <c r="P210" s="60" t="str">
        <f t="shared" si="29"/>
        <v/>
      </c>
      <c r="Q210" s="60" t="str">
        <f t="shared" si="34"/>
        <v/>
      </c>
      <c r="R210" s="57"/>
      <c r="S210" s="58" t="str">
        <f t="shared" si="30"/>
        <v/>
      </c>
      <c r="T210" s="58" t="str">
        <f t="shared" si="31"/>
        <v/>
      </c>
      <c r="U210" s="61" t="str">
        <f t="shared" si="35"/>
        <v/>
      </c>
      <c r="V210" s="58" t="str">
        <f t="shared" si="32"/>
        <v/>
      </c>
      <c r="W210" s="57"/>
    </row>
    <row r="211" spans="1:23" s="59" customFormat="1" x14ac:dyDescent="0.25">
      <c r="A211" s="53"/>
      <c r="B211" s="54" t="str">
        <f>IF($B210="","",IF($B210+1&gt;dropdown!$D$12,"",Schema!B210+1))</f>
        <v/>
      </c>
      <c r="C211" s="55" t="str">
        <f>IF($B210="","",IF($B210+1&gt;dropdown!$D$12,"",EOMONTH(C210,0)+1))</f>
        <v/>
      </c>
      <c r="D211" s="53"/>
      <c r="E211" s="55" t="str">
        <f>IF($B210="","",IF($B210+1&gt;dropdown!$D$12,"",F210+1))</f>
        <v/>
      </c>
      <c r="F211" s="55" t="str">
        <f>IF($B210="","",IF($B210+1&gt;dropdown!$D$12,"",EOMONTH(E211,0)))</f>
        <v/>
      </c>
      <c r="G211" s="56" t="str">
        <f>IF($B210="","",IF($B210+1&gt;dropdown!$D$12,"",(_xlfn.DAYS(F211,E211)+1)/DAY(F211)))</f>
        <v/>
      </c>
      <c r="H211" s="57"/>
      <c r="I211" s="58" t="str">
        <f>IF($B210="","",IF($B210+1&gt;dropdown!$D$12,"",I210-J210))</f>
        <v/>
      </c>
      <c r="J211" s="58" t="str">
        <f>IF($B210="","",IF($B210+1&gt;dropdown!$D$12,"",IF(B210&lt;dropdown!$D$13,0,IF(Aflossingsmethode="Lineair",Aflossingsbedrag,IF(Aflossingsmethode="Annuïteit",IFERROR(Bedrag_annuïteit-K211,0),0)))))</f>
        <v/>
      </c>
      <c r="K211" s="58" t="str">
        <f>IF($B210="","",IF($B210+1&gt;dropdown!$D$12,"",G211*I211*Rentekosten))</f>
        <v/>
      </c>
      <c r="L211" s="58" t="str">
        <f t="shared" si="33"/>
        <v/>
      </c>
      <c r="M211" s="58" t="str">
        <f t="shared" si="27"/>
        <v/>
      </c>
      <c r="N211" s="57"/>
      <c r="O211" s="60" t="str">
        <f t="shared" si="28"/>
        <v/>
      </c>
      <c r="P211" s="60" t="str">
        <f t="shared" si="29"/>
        <v/>
      </c>
      <c r="Q211" s="60" t="str">
        <f t="shared" si="34"/>
        <v/>
      </c>
      <c r="R211" s="57"/>
      <c r="S211" s="58" t="str">
        <f t="shared" si="30"/>
        <v/>
      </c>
      <c r="T211" s="58" t="str">
        <f t="shared" si="31"/>
        <v/>
      </c>
      <c r="U211" s="61" t="str">
        <f t="shared" si="35"/>
        <v/>
      </c>
      <c r="V211" s="58" t="str">
        <f t="shared" si="32"/>
        <v/>
      </c>
      <c r="W211" s="57"/>
    </row>
    <row r="212" spans="1:23" s="59" customFormat="1" x14ac:dyDescent="0.25">
      <c r="A212" s="53"/>
      <c r="B212" s="54" t="str">
        <f>IF($B211="","",IF($B211+1&gt;dropdown!$D$12,"",Schema!B211+1))</f>
        <v/>
      </c>
      <c r="C212" s="55" t="str">
        <f>IF($B211="","",IF($B211+1&gt;dropdown!$D$12,"",EOMONTH(C211,0)+1))</f>
        <v/>
      </c>
      <c r="D212" s="53"/>
      <c r="E212" s="55" t="str">
        <f>IF($B211="","",IF($B211+1&gt;dropdown!$D$12,"",F211+1))</f>
        <v/>
      </c>
      <c r="F212" s="55" t="str">
        <f>IF($B211="","",IF($B211+1&gt;dropdown!$D$12,"",EOMONTH(E212,0)))</f>
        <v/>
      </c>
      <c r="G212" s="56" t="str">
        <f>IF($B211="","",IF($B211+1&gt;dropdown!$D$12,"",(_xlfn.DAYS(F212,E212)+1)/DAY(F212)))</f>
        <v/>
      </c>
      <c r="H212" s="57"/>
      <c r="I212" s="58" t="str">
        <f>IF($B211="","",IF($B211+1&gt;dropdown!$D$12,"",I211-J211))</f>
        <v/>
      </c>
      <c r="J212" s="58" t="str">
        <f>IF($B211="","",IF($B211+1&gt;dropdown!$D$12,"",IF(B211&lt;dropdown!$D$13,0,IF(Aflossingsmethode="Lineair",Aflossingsbedrag,IF(Aflossingsmethode="Annuïteit",IFERROR(Bedrag_annuïteit-K212,0),0)))))</f>
        <v/>
      </c>
      <c r="K212" s="58" t="str">
        <f>IF($B211="","",IF($B211+1&gt;dropdown!$D$12,"",G212*I212*Rentekosten))</f>
        <v/>
      </c>
      <c r="L212" s="58" t="str">
        <f t="shared" si="33"/>
        <v/>
      </c>
      <c r="M212" s="58" t="str">
        <f t="shared" si="27"/>
        <v/>
      </c>
      <c r="N212" s="57"/>
      <c r="O212" s="60" t="str">
        <f t="shared" si="28"/>
        <v/>
      </c>
      <c r="P212" s="60" t="str">
        <f t="shared" si="29"/>
        <v/>
      </c>
      <c r="Q212" s="60" t="str">
        <f t="shared" si="34"/>
        <v/>
      </c>
      <c r="R212" s="57"/>
      <c r="S212" s="58" t="str">
        <f t="shared" si="30"/>
        <v/>
      </c>
      <c r="T212" s="58" t="str">
        <f t="shared" si="31"/>
        <v/>
      </c>
      <c r="U212" s="61" t="str">
        <f t="shared" si="35"/>
        <v/>
      </c>
      <c r="V212" s="58" t="str">
        <f t="shared" si="32"/>
        <v/>
      </c>
      <c r="W212" s="57"/>
    </row>
    <row r="213" spans="1:23" s="59" customFormat="1" x14ac:dyDescent="0.25">
      <c r="A213" s="53"/>
      <c r="B213" s="54" t="str">
        <f>IF($B212="","",IF($B212+1&gt;dropdown!$D$12,"",Schema!B212+1))</f>
        <v/>
      </c>
      <c r="C213" s="55" t="str">
        <f>IF($B212="","",IF($B212+1&gt;dropdown!$D$12,"",EOMONTH(C212,0)+1))</f>
        <v/>
      </c>
      <c r="D213" s="53"/>
      <c r="E213" s="55" t="str">
        <f>IF($B212="","",IF($B212+1&gt;dropdown!$D$12,"",F212+1))</f>
        <v/>
      </c>
      <c r="F213" s="55" t="str">
        <f>IF($B212="","",IF($B212+1&gt;dropdown!$D$12,"",EOMONTH(E213,0)))</f>
        <v/>
      </c>
      <c r="G213" s="56" t="str">
        <f>IF($B212="","",IF($B212+1&gt;dropdown!$D$12,"",(_xlfn.DAYS(F213,E213)+1)/DAY(F213)))</f>
        <v/>
      </c>
      <c r="H213" s="57"/>
      <c r="I213" s="58" t="str">
        <f>IF($B212="","",IF($B212+1&gt;dropdown!$D$12,"",I212-J212))</f>
        <v/>
      </c>
      <c r="J213" s="58" t="str">
        <f>IF($B212="","",IF($B212+1&gt;dropdown!$D$12,"",IF(B212&lt;dropdown!$D$13,0,IF(Aflossingsmethode="Lineair",Aflossingsbedrag,IF(Aflossingsmethode="Annuïteit",IFERROR(Bedrag_annuïteit-K213,0),0)))))</f>
        <v/>
      </c>
      <c r="K213" s="58" t="str">
        <f>IF($B212="","",IF($B212+1&gt;dropdown!$D$12,"",G213*I213*Rentekosten))</f>
        <v/>
      </c>
      <c r="L213" s="58" t="str">
        <f t="shared" si="33"/>
        <v/>
      </c>
      <c r="M213" s="58" t="str">
        <f t="shared" si="27"/>
        <v/>
      </c>
      <c r="N213" s="57"/>
      <c r="O213" s="60" t="str">
        <f t="shared" si="28"/>
        <v/>
      </c>
      <c r="P213" s="60" t="str">
        <f t="shared" si="29"/>
        <v/>
      </c>
      <c r="Q213" s="60" t="str">
        <f t="shared" si="34"/>
        <v/>
      </c>
      <c r="R213" s="57"/>
      <c r="S213" s="58" t="str">
        <f t="shared" si="30"/>
        <v/>
      </c>
      <c r="T213" s="58" t="str">
        <f t="shared" si="31"/>
        <v/>
      </c>
      <c r="U213" s="61" t="str">
        <f t="shared" si="35"/>
        <v/>
      </c>
      <c r="V213" s="58" t="str">
        <f t="shared" si="32"/>
        <v/>
      </c>
      <c r="W213" s="57"/>
    </row>
    <row r="214" spans="1:23" s="59" customFormat="1" x14ac:dyDescent="0.25">
      <c r="A214" s="53"/>
      <c r="B214" s="54" t="str">
        <f>IF($B213="","",IF($B213+1&gt;dropdown!$D$12,"",Schema!B213+1))</f>
        <v/>
      </c>
      <c r="C214" s="55" t="str">
        <f>IF($B213="","",IF($B213+1&gt;dropdown!$D$12,"",EOMONTH(C213,0)+1))</f>
        <v/>
      </c>
      <c r="D214" s="53"/>
      <c r="E214" s="55" t="str">
        <f>IF($B213="","",IF($B213+1&gt;dropdown!$D$12,"",F213+1))</f>
        <v/>
      </c>
      <c r="F214" s="55" t="str">
        <f>IF($B213="","",IF($B213+1&gt;dropdown!$D$12,"",EOMONTH(E214,0)))</f>
        <v/>
      </c>
      <c r="G214" s="56" t="str">
        <f>IF($B213="","",IF($B213+1&gt;dropdown!$D$12,"",(_xlfn.DAYS(F214,E214)+1)/DAY(F214)))</f>
        <v/>
      </c>
      <c r="H214" s="57"/>
      <c r="I214" s="58" t="str">
        <f>IF($B213="","",IF($B213+1&gt;dropdown!$D$12,"",I213-J213))</f>
        <v/>
      </c>
      <c r="J214" s="58" t="str">
        <f>IF($B213="","",IF($B213+1&gt;dropdown!$D$12,"",IF(B213&lt;dropdown!$D$13,0,IF(Aflossingsmethode="Lineair",Aflossingsbedrag,IF(Aflossingsmethode="Annuïteit",IFERROR(Bedrag_annuïteit-K214,0),0)))))</f>
        <v/>
      </c>
      <c r="K214" s="58" t="str">
        <f>IF($B213="","",IF($B213+1&gt;dropdown!$D$12,"",G214*I214*Rentekosten))</f>
        <v/>
      </c>
      <c r="L214" s="58" t="str">
        <f t="shared" si="33"/>
        <v/>
      </c>
      <c r="M214" s="58" t="str">
        <f t="shared" si="27"/>
        <v/>
      </c>
      <c r="N214" s="57"/>
      <c r="O214" s="60" t="str">
        <f t="shared" si="28"/>
        <v/>
      </c>
      <c r="P214" s="60" t="str">
        <f t="shared" si="29"/>
        <v/>
      </c>
      <c r="Q214" s="60" t="str">
        <f t="shared" si="34"/>
        <v/>
      </c>
      <c r="R214" s="57"/>
      <c r="S214" s="58" t="str">
        <f t="shared" si="30"/>
        <v/>
      </c>
      <c r="T214" s="58" t="str">
        <f t="shared" si="31"/>
        <v/>
      </c>
      <c r="U214" s="61" t="str">
        <f t="shared" si="35"/>
        <v/>
      </c>
      <c r="V214" s="58" t="str">
        <f t="shared" si="32"/>
        <v/>
      </c>
      <c r="W214" s="57"/>
    </row>
    <row r="215" spans="1:23" s="59" customFormat="1" x14ac:dyDescent="0.25">
      <c r="A215" s="53"/>
      <c r="B215" s="54" t="str">
        <f>IF($B214="","",IF($B214+1&gt;dropdown!$D$12,"",Schema!B214+1))</f>
        <v/>
      </c>
      <c r="C215" s="55" t="str">
        <f>IF($B214="","",IF($B214+1&gt;dropdown!$D$12,"",EOMONTH(C214,0)+1))</f>
        <v/>
      </c>
      <c r="D215" s="53"/>
      <c r="E215" s="55" t="str">
        <f>IF($B214="","",IF($B214+1&gt;dropdown!$D$12,"",F214+1))</f>
        <v/>
      </c>
      <c r="F215" s="55" t="str">
        <f>IF($B214="","",IF($B214+1&gt;dropdown!$D$12,"",EOMONTH(E215,0)))</f>
        <v/>
      </c>
      <c r="G215" s="56" t="str">
        <f>IF($B214="","",IF($B214+1&gt;dropdown!$D$12,"",(_xlfn.DAYS(F215,E215)+1)/DAY(F215)))</f>
        <v/>
      </c>
      <c r="H215" s="57"/>
      <c r="I215" s="58" t="str">
        <f>IF($B214="","",IF($B214+1&gt;dropdown!$D$12,"",I214-J214))</f>
        <v/>
      </c>
      <c r="J215" s="58" t="str">
        <f>IF($B214="","",IF($B214+1&gt;dropdown!$D$12,"",IF(B214&lt;dropdown!$D$13,0,IF(Aflossingsmethode="Lineair",Aflossingsbedrag,IF(Aflossingsmethode="Annuïteit",IFERROR(Bedrag_annuïteit-K215,0),0)))))</f>
        <v/>
      </c>
      <c r="K215" s="58" t="str">
        <f>IF($B214="","",IF($B214+1&gt;dropdown!$D$12,"",G215*I215*Rentekosten))</f>
        <v/>
      </c>
      <c r="L215" s="58" t="str">
        <f t="shared" si="33"/>
        <v/>
      </c>
      <c r="M215" s="58" t="str">
        <f t="shared" si="27"/>
        <v/>
      </c>
      <c r="N215" s="57"/>
      <c r="O215" s="60" t="str">
        <f t="shared" si="28"/>
        <v/>
      </c>
      <c r="P215" s="60" t="str">
        <f t="shared" si="29"/>
        <v/>
      </c>
      <c r="Q215" s="60" t="str">
        <f t="shared" si="34"/>
        <v/>
      </c>
      <c r="R215" s="57"/>
      <c r="S215" s="58" t="str">
        <f t="shared" si="30"/>
        <v/>
      </c>
      <c r="T215" s="58" t="str">
        <f t="shared" si="31"/>
        <v/>
      </c>
      <c r="U215" s="61" t="str">
        <f t="shared" si="35"/>
        <v/>
      </c>
      <c r="V215" s="58" t="str">
        <f t="shared" si="32"/>
        <v/>
      </c>
      <c r="W215" s="57"/>
    </row>
    <row r="216" spans="1:23" s="59" customFormat="1" x14ac:dyDescent="0.25">
      <c r="A216" s="53"/>
      <c r="B216" s="54" t="str">
        <f>IF($B215="","",IF($B215+1&gt;dropdown!$D$12,"",Schema!B215+1))</f>
        <v/>
      </c>
      <c r="C216" s="55" t="str">
        <f>IF($B215="","",IF($B215+1&gt;dropdown!$D$12,"",EOMONTH(C215,0)+1))</f>
        <v/>
      </c>
      <c r="D216" s="53"/>
      <c r="E216" s="55" t="str">
        <f>IF($B215="","",IF($B215+1&gt;dropdown!$D$12,"",F215+1))</f>
        <v/>
      </c>
      <c r="F216" s="55" t="str">
        <f>IF($B215="","",IF($B215+1&gt;dropdown!$D$12,"",EOMONTH(E216,0)))</f>
        <v/>
      </c>
      <c r="G216" s="56" t="str">
        <f>IF($B215="","",IF($B215+1&gt;dropdown!$D$12,"",(_xlfn.DAYS(F216,E216)+1)/DAY(F216)))</f>
        <v/>
      </c>
      <c r="H216" s="57"/>
      <c r="I216" s="58" t="str">
        <f>IF($B215="","",IF($B215+1&gt;dropdown!$D$12,"",I215-J215))</f>
        <v/>
      </c>
      <c r="J216" s="58" t="str">
        <f>IF($B215="","",IF($B215+1&gt;dropdown!$D$12,"",IF(B215&lt;dropdown!$D$13,0,IF(Aflossingsmethode="Lineair",Aflossingsbedrag,IF(Aflossingsmethode="Annuïteit",IFERROR(Bedrag_annuïteit-K216,0),0)))))</f>
        <v/>
      </c>
      <c r="K216" s="58" t="str">
        <f>IF($B215="","",IF($B215+1&gt;dropdown!$D$12,"",G216*I216*Rentekosten))</f>
        <v/>
      </c>
      <c r="L216" s="58" t="str">
        <f t="shared" si="33"/>
        <v/>
      </c>
      <c r="M216" s="58" t="str">
        <f t="shared" si="27"/>
        <v/>
      </c>
      <c r="N216" s="57"/>
      <c r="O216" s="60" t="str">
        <f t="shared" si="28"/>
        <v/>
      </c>
      <c r="P216" s="60" t="str">
        <f t="shared" si="29"/>
        <v/>
      </c>
      <c r="Q216" s="60" t="str">
        <f t="shared" si="34"/>
        <v/>
      </c>
      <c r="R216" s="57"/>
      <c r="S216" s="58" t="str">
        <f t="shared" si="30"/>
        <v/>
      </c>
      <c r="T216" s="58" t="str">
        <f t="shared" si="31"/>
        <v/>
      </c>
      <c r="U216" s="61" t="str">
        <f t="shared" si="35"/>
        <v/>
      </c>
      <c r="V216" s="58" t="str">
        <f t="shared" si="32"/>
        <v/>
      </c>
      <c r="W216" s="57"/>
    </row>
    <row r="217" spans="1:23" s="59" customFormat="1" x14ac:dyDescent="0.25">
      <c r="A217" s="53"/>
      <c r="B217" s="54" t="str">
        <f>IF($B216="","",IF($B216+1&gt;dropdown!$D$12,"",Schema!B216+1))</f>
        <v/>
      </c>
      <c r="C217" s="55" t="str">
        <f>IF($B216="","",IF($B216+1&gt;dropdown!$D$12,"",EOMONTH(C216,0)+1))</f>
        <v/>
      </c>
      <c r="D217" s="53"/>
      <c r="E217" s="55" t="str">
        <f>IF($B216="","",IF($B216+1&gt;dropdown!$D$12,"",F216+1))</f>
        <v/>
      </c>
      <c r="F217" s="55" t="str">
        <f>IF($B216="","",IF($B216+1&gt;dropdown!$D$12,"",EOMONTH(E217,0)))</f>
        <v/>
      </c>
      <c r="G217" s="56" t="str">
        <f>IF($B216="","",IF($B216+1&gt;dropdown!$D$12,"",(_xlfn.DAYS(F217,E217)+1)/DAY(F217)))</f>
        <v/>
      </c>
      <c r="H217" s="57"/>
      <c r="I217" s="58" t="str">
        <f>IF($B216="","",IF($B216+1&gt;dropdown!$D$12,"",I216-J216))</f>
        <v/>
      </c>
      <c r="J217" s="58" t="str">
        <f>IF($B216="","",IF($B216+1&gt;dropdown!$D$12,"",IF(B216&lt;dropdown!$D$13,0,IF(Aflossingsmethode="Lineair",Aflossingsbedrag,IF(Aflossingsmethode="Annuïteit",IFERROR(Bedrag_annuïteit-K217,0),0)))))</f>
        <v/>
      </c>
      <c r="K217" s="58" t="str">
        <f>IF($B216="","",IF($B216+1&gt;dropdown!$D$12,"",G217*I217*Rentekosten))</f>
        <v/>
      </c>
      <c r="L217" s="58" t="str">
        <f t="shared" si="33"/>
        <v/>
      </c>
      <c r="M217" s="58" t="str">
        <f t="shared" si="27"/>
        <v/>
      </c>
      <c r="N217" s="57"/>
      <c r="O217" s="60" t="str">
        <f t="shared" si="28"/>
        <v/>
      </c>
      <c r="P217" s="60" t="str">
        <f t="shared" si="29"/>
        <v/>
      </c>
      <c r="Q217" s="60" t="str">
        <f t="shared" si="34"/>
        <v/>
      </c>
      <c r="R217" s="57"/>
      <c r="S217" s="58" t="str">
        <f t="shared" si="30"/>
        <v/>
      </c>
      <c r="T217" s="58" t="str">
        <f t="shared" si="31"/>
        <v/>
      </c>
      <c r="U217" s="61" t="str">
        <f t="shared" si="35"/>
        <v/>
      </c>
      <c r="V217" s="58" t="str">
        <f t="shared" si="32"/>
        <v/>
      </c>
      <c r="W217" s="57"/>
    </row>
    <row r="218" spans="1:23" s="59" customFormat="1" x14ac:dyDescent="0.25">
      <c r="A218" s="53"/>
      <c r="B218" s="54" t="str">
        <f>IF($B217="","",IF($B217+1&gt;dropdown!$D$12,"",Schema!B217+1))</f>
        <v/>
      </c>
      <c r="C218" s="55" t="str">
        <f>IF($B217="","",IF($B217+1&gt;dropdown!$D$12,"",EOMONTH(C217,0)+1))</f>
        <v/>
      </c>
      <c r="D218" s="53"/>
      <c r="E218" s="55" t="str">
        <f>IF($B217="","",IF($B217+1&gt;dropdown!$D$12,"",F217+1))</f>
        <v/>
      </c>
      <c r="F218" s="55" t="str">
        <f>IF($B217="","",IF($B217+1&gt;dropdown!$D$12,"",EOMONTH(E218,0)))</f>
        <v/>
      </c>
      <c r="G218" s="56" t="str">
        <f>IF($B217="","",IF($B217+1&gt;dropdown!$D$12,"",(_xlfn.DAYS(F218,E218)+1)/DAY(F218)))</f>
        <v/>
      </c>
      <c r="H218" s="57"/>
      <c r="I218" s="58" t="str">
        <f>IF($B217="","",IF($B217+1&gt;dropdown!$D$12,"",I217-J217))</f>
        <v/>
      </c>
      <c r="J218" s="58" t="str">
        <f>IF($B217="","",IF($B217+1&gt;dropdown!$D$12,"",IF(B217&lt;dropdown!$D$13,0,IF(Aflossingsmethode="Lineair",Aflossingsbedrag,IF(Aflossingsmethode="Annuïteit",IFERROR(Bedrag_annuïteit-K218,0),0)))))</f>
        <v/>
      </c>
      <c r="K218" s="58" t="str">
        <f>IF($B217="","",IF($B217+1&gt;dropdown!$D$12,"",G218*I218*Rentekosten))</f>
        <v/>
      </c>
      <c r="L218" s="58" t="str">
        <f t="shared" si="33"/>
        <v/>
      </c>
      <c r="M218" s="58" t="str">
        <f t="shared" si="27"/>
        <v/>
      </c>
      <c r="N218" s="57"/>
      <c r="O218" s="60" t="str">
        <f t="shared" si="28"/>
        <v/>
      </c>
      <c r="P218" s="60" t="str">
        <f t="shared" si="29"/>
        <v/>
      </c>
      <c r="Q218" s="60" t="str">
        <f t="shared" si="34"/>
        <v/>
      </c>
      <c r="R218" s="57"/>
      <c r="S218" s="58" t="str">
        <f t="shared" si="30"/>
        <v/>
      </c>
      <c r="T218" s="58" t="str">
        <f t="shared" si="31"/>
        <v/>
      </c>
      <c r="U218" s="61" t="str">
        <f t="shared" si="35"/>
        <v/>
      </c>
      <c r="V218" s="58" t="str">
        <f t="shared" si="32"/>
        <v/>
      </c>
      <c r="W218" s="57"/>
    </row>
    <row r="219" spans="1:23" s="59" customFormat="1" x14ac:dyDescent="0.25">
      <c r="A219" s="53"/>
      <c r="B219" s="54" t="str">
        <f>IF($B218="","",IF($B218+1&gt;dropdown!$D$12,"",Schema!B218+1))</f>
        <v/>
      </c>
      <c r="C219" s="55" t="str">
        <f>IF($B218="","",IF($B218+1&gt;dropdown!$D$12,"",EOMONTH(C218,0)+1))</f>
        <v/>
      </c>
      <c r="D219" s="53"/>
      <c r="E219" s="55" t="str">
        <f>IF($B218="","",IF($B218+1&gt;dropdown!$D$12,"",F218+1))</f>
        <v/>
      </c>
      <c r="F219" s="55" t="str">
        <f>IF($B218="","",IF($B218+1&gt;dropdown!$D$12,"",EOMONTH(E219,0)))</f>
        <v/>
      </c>
      <c r="G219" s="56" t="str">
        <f>IF($B218="","",IF($B218+1&gt;dropdown!$D$12,"",(_xlfn.DAYS(F219,E219)+1)/DAY(F219)))</f>
        <v/>
      </c>
      <c r="H219" s="57"/>
      <c r="I219" s="58" t="str">
        <f>IF($B218="","",IF($B218+1&gt;dropdown!$D$12,"",I218-J218))</f>
        <v/>
      </c>
      <c r="J219" s="58" t="str">
        <f>IF($B218="","",IF($B218+1&gt;dropdown!$D$12,"",IF(B218&lt;dropdown!$D$13,0,IF(Aflossingsmethode="Lineair",Aflossingsbedrag,IF(Aflossingsmethode="Annuïteit",IFERROR(Bedrag_annuïteit-K219,0),0)))))</f>
        <v/>
      </c>
      <c r="K219" s="58" t="str">
        <f>IF($B218="","",IF($B218+1&gt;dropdown!$D$12,"",G219*I219*Rentekosten))</f>
        <v/>
      </c>
      <c r="L219" s="58" t="str">
        <f t="shared" si="33"/>
        <v/>
      </c>
      <c r="M219" s="58" t="str">
        <f t="shared" si="27"/>
        <v/>
      </c>
      <c r="N219" s="57"/>
      <c r="O219" s="60" t="str">
        <f t="shared" si="28"/>
        <v/>
      </c>
      <c r="P219" s="60" t="str">
        <f t="shared" si="29"/>
        <v/>
      </c>
      <c r="Q219" s="60" t="str">
        <f t="shared" si="34"/>
        <v/>
      </c>
      <c r="R219" s="57"/>
      <c r="S219" s="58" t="str">
        <f t="shared" si="30"/>
        <v/>
      </c>
      <c r="T219" s="58" t="str">
        <f t="shared" si="31"/>
        <v/>
      </c>
      <c r="U219" s="61" t="str">
        <f t="shared" si="35"/>
        <v/>
      </c>
      <c r="V219" s="58" t="str">
        <f t="shared" si="32"/>
        <v/>
      </c>
      <c r="W219" s="57"/>
    </row>
    <row r="220" spans="1:23" s="59" customFormat="1" x14ac:dyDescent="0.25">
      <c r="A220" s="53"/>
      <c r="B220" s="54" t="str">
        <f>IF($B219="","",IF($B219+1&gt;dropdown!$D$12,"",Schema!B219+1))</f>
        <v/>
      </c>
      <c r="C220" s="55" t="str">
        <f>IF($B219="","",IF($B219+1&gt;dropdown!$D$12,"",EOMONTH(C219,0)+1))</f>
        <v/>
      </c>
      <c r="D220" s="53"/>
      <c r="E220" s="55" t="str">
        <f>IF($B219="","",IF($B219+1&gt;dropdown!$D$12,"",F219+1))</f>
        <v/>
      </c>
      <c r="F220" s="55" t="str">
        <f>IF($B219="","",IF($B219+1&gt;dropdown!$D$12,"",EOMONTH(E220,0)))</f>
        <v/>
      </c>
      <c r="G220" s="56" t="str">
        <f>IF($B219="","",IF($B219+1&gt;dropdown!$D$12,"",(_xlfn.DAYS(F220,E220)+1)/DAY(F220)))</f>
        <v/>
      </c>
      <c r="H220" s="57"/>
      <c r="I220" s="58" t="str">
        <f>IF($B219="","",IF($B219+1&gt;dropdown!$D$12,"",I219-J219))</f>
        <v/>
      </c>
      <c r="J220" s="58" t="str">
        <f>IF($B219="","",IF($B219+1&gt;dropdown!$D$12,"",IF(B219&lt;dropdown!$D$13,0,IF(Aflossingsmethode="Lineair",Aflossingsbedrag,IF(Aflossingsmethode="Annuïteit",IFERROR(Bedrag_annuïteit-K220,0),0)))))</f>
        <v/>
      </c>
      <c r="K220" s="58" t="str">
        <f>IF($B219="","",IF($B219+1&gt;dropdown!$D$12,"",G220*I220*Rentekosten))</f>
        <v/>
      </c>
      <c r="L220" s="58" t="str">
        <f t="shared" si="33"/>
        <v/>
      </c>
      <c r="M220" s="58" t="str">
        <f t="shared" si="27"/>
        <v/>
      </c>
      <c r="N220" s="57"/>
      <c r="O220" s="60" t="str">
        <f t="shared" si="28"/>
        <v/>
      </c>
      <c r="P220" s="60" t="str">
        <f t="shared" si="29"/>
        <v/>
      </c>
      <c r="Q220" s="60" t="str">
        <f t="shared" si="34"/>
        <v/>
      </c>
      <c r="R220" s="57"/>
      <c r="S220" s="58" t="str">
        <f t="shared" si="30"/>
        <v/>
      </c>
      <c r="T220" s="58" t="str">
        <f t="shared" si="31"/>
        <v/>
      </c>
      <c r="U220" s="61" t="str">
        <f t="shared" si="35"/>
        <v/>
      </c>
      <c r="V220" s="58" t="str">
        <f t="shared" si="32"/>
        <v/>
      </c>
      <c r="W220" s="57"/>
    </row>
    <row r="221" spans="1:23" s="59" customFormat="1" x14ac:dyDescent="0.25">
      <c r="A221" s="53"/>
      <c r="B221" s="54" t="str">
        <f>IF($B220="","",IF($B220+1&gt;dropdown!$D$12,"",Schema!B220+1))</f>
        <v/>
      </c>
      <c r="C221" s="55" t="str">
        <f>IF($B220="","",IF($B220+1&gt;dropdown!$D$12,"",EOMONTH(C220,0)+1))</f>
        <v/>
      </c>
      <c r="D221" s="53"/>
      <c r="E221" s="55" t="str">
        <f>IF($B220="","",IF($B220+1&gt;dropdown!$D$12,"",F220+1))</f>
        <v/>
      </c>
      <c r="F221" s="55" t="str">
        <f>IF($B220="","",IF($B220+1&gt;dropdown!$D$12,"",EOMONTH(E221,0)))</f>
        <v/>
      </c>
      <c r="G221" s="56" t="str">
        <f>IF($B220="","",IF($B220+1&gt;dropdown!$D$12,"",(_xlfn.DAYS(F221,E221)+1)/DAY(F221)))</f>
        <v/>
      </c>
      <c r="H221" s="57"/>
      <c r="I221" s="58" t="str">
        <f>IF($B220="","",IF($B220+1&gt;dropdown!$D$12,"",I220-J220))</f>
        <v/>
      </c>
      <c r="J221" s="58" t="str">
        <f>IF($B220="","",IF($B220+1&gt;dropdown!$D$12,"",IF(B220&lt;dropdown!$D$13,0,IF(Aflossingsmethode="Lineair",Aflossingsbedrag,IF(Aflossingsmethode="Annuïteit",IFERROR(Bedrag_annuïteit-K221,0),0)))))</f>
        <v/>
      </c>
      <c r="K221" s="58" t="str">
        <f>IF($B220="","",IF($B220+1&gt;dropdown!$D$12,"",G221*I221*Rentekosten))</f>
        <v/>
      </c>
      <c r="L221" s="58" t="str">
        <f t="shared" si="33"/>
        <v/>
      </c>
      <c r="M221" s="58" t="str">
        <f t="shared" si="27"/>
        <v/>
      </c>
      <c r="N221" s="57"/>
      <c r="O221" s="60" t="str">
        <f t="shared" si="28"/>
        <v/>
      </c>
      <c r="P221" s="60" t="str">
        <f t="shared" si="29"/>
        <v/>
      </c>
      <c r="Q221" s="60" t="str">
        <f t="shared" si="34"/>
        <v/>
      </c>
      <c r="R221" s="57"/>
      <c r="S221" s="58" t="str">
        <f t="shared" si="30"/>
        <v/>
      </c>
      <c r="T221" s="58" t="str">
        <f t="shared" si="31"/>
        <v/>
      </c>
      <c r="U221" s="61" t="str">
        <f t="shared" si="35"/>
        <v/>
      </c>
      <c r="V221" s="58" t="str">
        <f t="shared" si="32"/>
        <v/>
      </c>
      <c r="W221" s="57"/>
    </row>
    <row r="222" spans="1:23" s="59" customFormat="1" x14ac:dyDescent="0.25">
      <c r="A222" s="53"/>
      <c r="B222" s="54" t="str">
        <f>IF($B221="","",IF($B221+1&gt;dropdown!$D$12,"",Schema!B221+1))</f>
        <v/>
      </c>
      <c r="C222" s="55" t="str">
        <f>IF($B221="","",IF($B221+1&gt;dropdown!$D$12,"",EOMONTH(C221,0)+1))</f>
        <v/>
      </c>
      <c r="D222" s="53"/>
      <c r="E222" s="55" t="str">
        <f>IF($B221="","",IF($B221+1&gt;dropdown!$D$12,"",F221+1))</f>
        <v/>
      </c>
      <c r="F222" s="55" t="str">
        <f>IF($B221="","",IF($B221+1&gt;dropdown!$D$12,"",EOMONTH(E222,0)))</f>
        <v/>
      </c>
      <c r="G222" s="56" t="str">
        <f>IF($B221="","",IF($B221+1&gt;dropdown!$D$12,"",(_xlfn.DAYS(F222,E222)+1)/DAY(F222)))</f>
        <v/>
      </c>
      <c r="H222" s="57"/>
      <c r="I222" s="58" t="str">
        <f>IF($B221="","",IF($B221+1&gt;dropdown!$D$12,"",I221-J221))</f>
        <v/>
      </c>
      <c r="J222" s="58" t="str">
        <f>IF($B221="","",IF($B221+1&gt;dropdown!$D$12,"",IF(B221&lt;dropdown!$D$13,0,IF(Aflossingsmethode="Lineair",Aflossingsbedrag,IF(Aflossingsmethode="Annuïteit",IFERROR(Bedrag_annuïteit-K222,0),0)))))</f>
        <v/>
      </c>
      <c r="K222" s="58" t="str">
        <f>IF($B221="","",IF($B221+1&gt;dropdown!$D$12,"",G222*I222*Rentekosten))</f>
        <v/>
      </c>
      <c r="L222" s="58" t="str">
        <f t="shared" si="33"/>
        <v/>
      </c>
      <c r="M222" s="58" t="str">
        <f t="shared" si="27"/>
        <v/>
      </c>
      <c r="N222" s="57"/>
      <c r="O222" s="60" t="str">
        <f t="shared" si="28"/>
        <v/>
      </c>
      <c r="P222" s="60" t="str">
        <f t="shared" si="29"/>
        <v/>
      </c>
      <c r="Q222" s="60" t="str">
        <f t="shared" si="34"/>
        <v/>
      </c>
      <c r="R222" s="57"/>
      <c r="S222" s="58" t="str">
        <f t="shared" si="30"/>
        <v/>
      </c>
      <c r="T222" s="58" t="str">
        <f t="shared" si="31"/>
        <v/>
      </c>
      <c r="U222" s="61" t="str">
        <f t="shared" si="35"/>
        <v/>
      </c>
      <c r="V222" s="58" t="str">
        <f t="shared" si="32"/>
        <v/>
      </c>
      <c r="W222" s="57"/>
    </row>
    <row r="223" spans="1:23" s="59" customFormat="1" x14ac:dyDescent="0.25">
      <c r="A223" s="53"/>
      <c r="B223" s="54" t="str">
        <f>IF($B222="","",IF($B222+1&gt;dropdown!$D$12,"",Schema!B222+1))</f>
        <v/>
      </c>
      <c r="C223" s="55" t="str">
        <f>IF($B222="","",IF($B222+1&gt;dropdown!$D$12,"",EOMONTH(C222,0)+1))</f>
        <v/>
      </c>
      <c r="D223" s="53"/>
      <c r="E223" s="55" t="str">
        <f>IF($B222="","",IF($B222+1&gt;dropdown!$D$12,"",F222+1))</f>
        <v/>
      </c>
      <c r="F223" s="55" t="str">
        <f>IF($B222="","",IF($B222+1&gt;dropdown!$D$12,"",EOMONTH(E223,0)))</f>
        <v/>
      </c>
      <c r="G223" s="56" t="str">
        <f>IF($B222="","",IF($B222+1&gt;dropdown!$D$12,"",(_xlfn.DAYS(F223,E223)+1)/DAY(F223)))</f>
        <v/>
      </c>
      <c r="H223" s="57"/>
      <c r="I223" s="58" t="str">
        <f>IF($B222="","",IF($B222+1&gt;dropdown!$D$12,"",I222-J222))</f>
        <v/>
      </c>
      <c r="J223" s="58" t="str">
        <f>IF($B222="","",IF($B222+1&gt;dropdown!$D$12,"",IF(B222&lt;dropdown!$D$13,0,IF(Aflossingsmethode="Lineair",Aflossingsbedrag,IF(Aflossingsmethode="Annuïteit",IFERROR(Bedrag_annuïteit-K223,0),0)))))</f>
        <v/>
      </c>
      <c r="K223" s="58" t="str">
        <f>IF($B222="","",IF($B222+1&gt;dropdown!$D$12,"",G223*I223*Rentekosten))</f>
        <v/>
      </c>
      <c r="L223" s="58" t="str">
        <f t="shared" si="33"/>
        <v/>
      </c>
      <c r="M223" s="58" t="str">
        <f t="shared" si="27"/>
        <v/>
      </c>
      <c r="N223" s="57"/>
      <c r="O223" s="60" t="str">
        <f t="shared" si="28"/>
        <v/>
      </c>
      <c r="P223" s="60" t="str">
        <f t="shared" si="29"/>
        <v/>
      </c>
      <c r="Q223" s="60" t="str">
        <f t="shared" si="34"/>
        <v/>
      </c>
      <c r="R223" s="57"/>
      <c r="S223" s="58" t="str">
        <f t="shared" si="30"/>
        <v/>
      </c>
      <c r="T223" s="58" t="str">
        <f t="shared" si="31"/>
        <v/>
      </c>
      <c r="U223" s="61" t="str">
        <f t="shared" si="35"/>
        <v/>
      </c>
      <c r="V223" s="58" t="str">
        <f t="shared" si="32"/>
        <v/>
      </c>
      <c r="W223" s="57"/>
    </row>
    <row r="224" spans="1:23" s="59" customFormat="1" x14ac:dyDescent="0.25">
      <c r="A224" s="53"/>
      <c r="B224" s="54" t="str">
        <f>IF($B223="","",IF($B223+1&gt;dropdown!$D$12,"",Schema!B223+1))</f>
        <v/>
      </c>
      <c r="C224" s="55" t="str">
        <f>IF($B223="","",IF($B223+1&gt;dropdown!$D$12,"",EOMONTH(C223,0)+1))</f>
        <v/>
      </c>
      <c r="D224" s="53"/>
      <c r="E224" s="55" t="str">
        <f>IF($B223="","",IF($B223+1&gt;dropdown!$D$12,"",F223+1))</f>
        <v/>
      </c>
      <c r="F224" s="55" t="str">
        <f>IF($B223="","",IF($B223+1&gt;dropdown!$D$12,"",EOMONTH(E224,0)))</f>
        <v/>
      </c>
      <c r="G224" s="56" t="str">
        <f>IF($B223="","",IF($B223+1&gt;dropdown!$D$12,"",(_xlfn.DAYS(F224,E224)+1)/DAY(F224)))</f>
        <v/>
      </c>
      <c r="H224" s="57"/>
      <c r="I224" s="58" t="str">
        <f>IF($B223="","",IF($B223+1&gt;dropdown!$D$12,"",I223-J223))</f>
        <v/>
      </c>
      <c r="J224" s="58" t="str">
        <f>IF($B223="","",IF($B223+1&gt;dropdown!$D$12,"",IF(B223&lt;dropdown!$D$13,0,IF(Aflossingsmethode="Lineair",Aflossingsbedrag,IF(Aflossingsmethode="Annuïteit",IFERROR(Bedrag_annuïteit-K224,0),0)))))</f>
        <v/>
      </c>
      <c r="K224" s="58" t="str">
        <f>IF($B223="","",IF($B223+1&gt;dropdown!$D$12,"",G224*I224*Rentekosten))</f>
        <v/>
      </c>
      <c r="L224" s="58" t="str">
        <f t="shared" si="33"/>
        <v/>
      </c>
      <c r="M224" s="58" t="str">
        <f t="shared" si="27"/>
        <v/>
      </c>
      <c r="N224" s="57"/>
      <c r="O224" s="60" t="str">
        <f t="shared" si="28"/>
        <v/>
      </c>
      <c r="P224" s="60" t="str">
        <f t="shared" si="29"/>
        <v/>
      </c>
      <c r="Q224" s="60" t="str">
        <f t="shared" si="34"/>
        <v/>
      </c>
      <c r="R224" s="57"/>
      <c r="S224" s="58" t="str">
        <f t="shared" si="30"/>
        <v/>
      </c>
      <c r="T224" s="58" t="str">
        <f t="shared" si="31"/>
        <v/>
      </c>
      <c r="U224" s="61" t="str">
        <f t="shared" si="35"/>
        <v/>
      </c>
      <c r="V224" s="58" t="str">
        <f t="shared" si="32"/>
        <v/>
      </c>
      <c r="W224" s="57"/>
    </row>
    <row r="225" spans="1:23" s="59" customFormat="1" x14ac:dyDescent="0.25">
      <c r="A225" s="53"/>
      <c r="B225" s="54" t="str">
        <f>IF($B224="","",IF($B224+1&gt;dropdown!$D$12,"",Schema!B224+1))</f>
        <v/>
      </c>
      <c r="C225" s="55" t="str">
        <f>IF($B224="","",IF($B224+1&gt;dropdown!$D$12,"",EOMONTH(C224,0)+1))</f>
        <v/>
      </c>
      <c r="D225" s="53"/>
      <c r="E225" s="55" t="str">
        <f>IF($B224="","",IF($B224+1&gt;dropdown!$D$12,"",F224+1))</f>
        <v/>
      </c>
      <c r="F225" s="55" t="str">
        <f>IF($B224="","",IF($B224+1&gt;dropdown!$D$12,"",EOMONTH(E225,0)))</f>
        <v/>
      </c>
      <c r="G225" s="56" t="str">
        <f>IF($B224="","",IF($B224+1&gt;dropdown!$D$12,"",(_xlfn.DAYS(F225,E225)+1)/DAY(F225)))</f>
        <v/>
      </c>
      <c r="H225" s="57"/>
      <c r="I225" s="58" t="str">
        <f>IF($B224="","",IF($B224+1&gt;dropdown!$D$12,"",I224-J224))</f>
        <v/>
      </c>
      <c r="J225" s="58" t="str">
        <f>IF($B224="","",IF($B224+1&gt;dropdown!$D$12,"",IF(B224&lt;dropdown!$D$13,0,IF(Aflossingsmethode="Lineair",Aflossingsbedrag,IF(Aflossingsmethode="Annuïteit",IFERROR(Bedrag_annuïteit-K225,0),0)))))</f>
        <v/>
      </c>
      <c r="K225" s="58" t="str">
        <f>IF($B224="","",IF($B224+1&gt;dropdown!$D$12,"",G225*I225*Rentekosten))</f>
        <v/>
      </c>
      <c r="L225" s="58" t="str">
        <f t="shared" si="33"/>
        <v/>
      </c>
      <c r="M225" s="58" t="str">
        <f t="shared" si="27"/>
        <v/>
      </c>
      <c r="N225" s="57"/>
      <c r="O225" s="60" t="str">
        <f t="shared" si="28"/>
        <v/>
      </c>
      <c r="P225" s="60" t="str">
        <f t="shared" si="29"/>
        <v/>
      </c>
      <c r="Q225" s="60" t="str">
        <f t="shared" si="34"/>
        <v/>
      </c>
      <c r="R225" s="57"/>
      <c r="S225" s="58" t="str">
        <f t="shared" si="30"/>
        <v/>
      </c>
      <c r="T225" s="58" t="str">
        <f t="shared" si="31"/>
        <v/>
      </c>
      <c r="U225" s="61" t="str">
        <f t="shared" si="35"/>
        <v/>
      </c>
      <c r="V225" s="58" t="str">
        <f t="shared" si="32"/>
        <v/>
      </c>
      <c r="W225" s="57"/>
    </row>
    <row r="226" spans="1:23" s="59" customFormat="1" x14ac:dyDescent="0.25">
      <c r="A226" s="53"/>
      <c r="B226" s="54" t="str">
        <f>IF($B225="","",IF($B225+1&gt;dropdown!$D$12,"",Schema!B225+1))</f>
        <v/>
      </c>
      <c r="C226" s="55" t="str">
        <f>IF($B225="","",IF($B225+1&gt;dropdown!$D$12,"",EOMONTH(C225,0)+1))</f>
        <v/>
      </c>
      <c r="D226" s="53"/>
      <c r="E226" s="55" t="str">
        <f>IF($B225="","",IF($B225+1&gt;dropdown!$D$12,"",F225+1))</f>
        <v/>
      </c>
      <c r="F226" s="55" t="str">
        <f>IF($B225="","",IF($B225+1&gt;dropdown!$D$12,"",EOMONTH(E226,0)))</f>
        <v/>
      </c>
      <c r="G226" s="56" t="str">
        <f>IF($B225="","",IF($B225+1&gt;dropdown!$D$12,"",(_xlfn.DAYS(F226,E226)+1)/DAY(F226)))</f>
        <v/>
      </c>
      <c r="H226" s="57"/>
      <c r="I226" s="58" t="str">
        <f>IF($B225="","",IF($B225+1&gt;dropdown!$D$12,"",I225-J225))</f>
        <v/>
      </c>
      <c r="J226" s="58" t="str">
        <f>IF($B225="","",IF($B225+1&gt;dropdown!$D$12,"",IF(B225&lt;dropdown!$D$13,0,IF(Aflossingsmethode="Lineair",Aflossingsbedrag,IF(Aflossingsmethode="Annuïteit",IFERROR(Bedrag_annuïteit-K226,0),0)))))</f>
        <v/>
      </c>
      <c r="K226" s="58" t="str">
        <f>IF($B225="","",IF($B225+1&gt;dropdown!$D$12,"",G226*I226*Rentekosten))</f>
        <v/>
      </c>
      <c r="L226" s="58" t="str">
        <f t="shared" si="33"/>
        <v/>
      </c>
      <c r="M226" s="58" t="str">
        <f t="shared" si="27"/>
        <v/>
      </c>
      <c r="N226" s="57"/>
      <c r="O226" s="60" t="str">
        <f t="shared" si="28"/>
        <v/>
      </c>
      <c r="P226" s="60" t="str">
        <f t="shared" si="29"/>
        <v/>
      </c>
      <c r="Q226" s="60" t="str">
        <f t="shared" si="34"/>
        <v/>
      </c>
      <c r="R226" s="57"/>
      <c r="S226" s="58" t="str">
        <f t="shared" si="30"/>
        <v/>
      </c>
      <c r="T226" s="58" t="str">
        <f t="shared" si="31"/>
        <v/>
      </c>
      <c r="U226" s="61" t="str">
        <f t="shared" si="35"/>
        <v/>
      </c>
      <c r="V226" s="58" t="str">
        <f t="shared" si="32"/>
        <v/>
      </c>
      <c r="W226" s="57"/>
    </row>
    <row r="227" spans="1:23" s="59" customFormat="1" x14ac:dyDescent="0.25">
      <c r="A227" s="53"/>
      <c r="B227" s="54" t="str">
        <f>IF($B226="","",IF($B226+1&gt;dropdown!$D$12,"",Schema!B226+1))</f>
        <v/>
      </c>
      <c r="C227" s="55" t="str">
        <f>IF($B226="","",IF($B226+1&gt;dropdown!$D$12,"",EOMONTH(C226,0)+1))</f>
        <v/>
      </c>
      <c r="D227" s="53"/>
      <c r="E227" s="55" t="str">
        <f>IF($B226="","",IF($B226+1&gt;dropdown!$D$12,"",F226+1))</f>
        <v/>
      </c>
      <c r="F227" s="55" t="str">
        <f>IF($B226="","",IF($B226+1&gt;dropdown!$D$12,"",EOMONTH(E227,0)))</f>
        <v/>
      </c>
      <c r="G227" s="56" t="str">
        <f>IF($B226="","",IF($B226+1&gt;dropdown!$D$12,"",(_xlfn.DAYS(F227,E227)+1)/DAY(F227)))</f>
        <v/>
      </c>
      <c r="H227" s="57"/>
      <c r="I227" s="58" t="str">
        <f>IF($B226="","",IF($B226+1&gt;dropdown!$D$12,"",I226-J226))</f>
        <v/>
      </c>
      <c r="J227" s="58" t="str">
        <f>IF($B226="","",IF($B226+1&gt;dropdown!$D$12,"",IF(B226&lt;dropdown!$D$13,0,IF(Aflossingsmethode="Lineair",Aflossingsbedrag,IF(Aflossingsmethode="Annuïteit",IFERROR(Bedrag_annuïteit-K227,0),0)))))</f>
        <v/>
      </c>
      <c r="K227" s="58" t="str">
        <f>IF($B226="","",IF($B226+1&gt;dropdown!$D$12,"",G227*I227*Rentekosten))</f>
        <v/>
      </c>
      <c r="L227" s="58" t="str">
        <f t="shared" si="33"/>
        <v/>
      </c>
      <c r="M227" s="58" t="str">
        <f t="shared" si="27"/>
        <v/>
      </c>
      <c r="N227" s="57"/>
      <c r="O227" s="60" t="str">
        <f t="shared" si="28"/>
        <v/>
      </c>
      <c r="P227" s="60" t="str">
        <f t="shared" si="29"/>
        <v/>
      </c>
      <c r="Q227" s="60" t="str">
        <f t="shared" si="34"/>
        <v/>
      </c>
      <c r="R227" s="57"/>
      <c r="S227" s="58" t="str">
        <f t="shared" si="30"/>
        <v/>
      </c>
      <c r="T227" s="58" t="str">
        <f t="shared" si="31"/>
        <v/>
      </c>
      <c r="U227" s="61" t="str">
        <f t="shared" si="35"/>
        <v/>
      </c>
      <c r="V227" s="58" t="str">
        <f t="shared" si="32"/>
        <v/>
      </c>
      <c r="W227" s="57"/>
    </row>
    <row r="228" spans="1:23" s="59" customFormat="1" x14ac:dyDescent="0.25">
      <c r="A228" s="53"/>
      <c r="B228" s="54" t="str">
        <f>IF($B227="","",IF($B227+1&gt;dropdown!$D$12,"",Schema!B227+1))</f>
        <v/>
      </c>
      <c r="C228" s="55" t="str">
        <f>IF($B227="","",IF($B227+1&gt;dropdown!$D$12,"",EOMONTH(C227,0)+1))</f>
        <v/>
      </c>
      <c r="D228" s="53"/>
      <c r="E228" s="55" t="str">
        <f>IF($B227="","",IF($B227+1&gt;dropdown!$D$12,"",F227+1))</f>
        <v/>
      </c>
      <c r="F228" s="55" t="str">
        <f>IF($B227="","",IF($B227+1&gt;dropdown!$D$12,"",EOMONTH(E228,0)))</f>
        <v/>
      </c>
      <c r="G228" s="56" t="str">
        <f>IF($B227="","",IF($B227+1&gt;dropdown!$D$12,"",(_xlfn.DAYS(F228,E228)+1)/DAY(F228)))</f>
        <v/>
      </c>
      <c r="H228" s="57"/>
      <c r="I228" s="58" t="str">
        <f>IF($B227="","",IF($B227+1&gt;dropdown!$D$12,"",I227-J227))</f>
        <v/>
      </c>
      <c r="J228" s="58" t="str">
        <f>IF($B227="","",IF($B227+1&gt;dropdown!$D$12,"",IF(B227&lt;dropdown!$D$13,0,IF(Aflossingsmethode="Lineair",Aflossingsbedrag,IF(Aflossingsmethode="Annuïteit",IFERROR(Bedrag_annuïteit-K228,0),0)))))</f>
        <v/>
      </c>
      <c r="K228" s="58" t="str">
        <f>IF($B227="","",IF($B227+1&gt;dropdown!$D$12,"",G228*I228*Rentekosten))</f>
        <v/>
      </c>
      <c r="L228" s="58" t="str">
        <f t="shared" si="33"/>
        <v/>
      </c>
      <c r="M228" s="58" t="str">
        <f t="shared" si="27"/>
        <v/>
      </c>
      <c r="N228" s="57"/>
      <c r="O228" s="60" t="str">
        <f t="shared" si="28"/>
        <v/>
      </c>
      <c r="P228" s="60" t="str">
        <f t="shared" si="29"/>
        <v/>
      </c>
      <c r="Q228" s="60" t="str">
        <f t="shared" si="34"/>
        <v/>
      </c>
      <c r="R228" s="57"/>
      <c r="S228" s="58" t="str">
        <f t="shared" si="30"/>
        <v/>
      </c>
      <c r="T228" s="58" t="str">
        <f t="shared" si="31"/>
        <v/>
      </c>
      <c r="U228" s="61" t="str">
        <f t="shared" si="35"/>
        <v/>
      </c>
      <c r="V228" s="58" t="str">
        <f t="shared" si="32"/>
        <v/>
      </c>
      <c r="W228" s="57"/>
    </row>
    <row r="229" spans="1:23" s="59" customFormat="1" x14ac:dyDescent="0.25">
      <c r="A229" s="53"/>
      <c r="B229" s="54" t="str">
        <f>IF($B228="","",IF($B228+1&gt;dropdown!$D$12,"",Schema!B228+1))</f>
        <v/>
      </c>
      <c r="C229" s="55" t="str">
        <f>IF($B228="","",IF($B228+1&gt;dropdown!$D$12,"",EOMONTH(C228,0)+1))</f>
        <v/>
      </c>
      <c r="D229" s="53"/>
      <c r="E229" s="55" t="str">
        <f>IF($B228="","",IF($B228+1&gt;dropdown!$D$12,"",F228+1))</f>
        <v/>
      </c>
      <c r="F229" s="55" t="str">
        <f>IF($B228="","",IF($B228+1&gt;dropdown!$D$12,"",EOMONTH(E229,0)))</f>
        <v/>
      </c>
      <c r="G229" s="56" t="str">
        <f>IF($B228="","",IF($B228+1&gt;dropdown!$D$12,"",(_xlfn.DAYS(F229,E229)+1)/DAY(F229)))</f>
        <v/>
      </c>
      <c r="H229" s="57"/>
      <c r="I229" s="58" t="str">
        <f>IF($B228="","",IF($B228+1&gt;dropdown!$D$12,"",I228-J228))</f>
        <v/>
      </c>
      <c r="J229" s="58" t="str">
        <f>IF($B228="","",IF($B228+1&gt;dropdown!$D$12,"",IF(B228&lt;dropdown!$D$13,0,IF(Aflossingsmethode="Lineair",Aflossingsbedrag,IF(Aflossingsmethode="Annuïteit",IFERROR(Bedrag_annuïteit-K229,0),0)))))</f>
        <v/>
      </c>
      <c r="K229" s="58" t="str">
        <f>IF($B228="","",IF($B228+1&gt;dropdown!$D$12,"",G229*I229*Rentekosten))</f>
        <v/>
      </c>
      <c r="L229" s="58" t="str">
        <f t="shared" si="33"/>
        <v/>
      </c>
      <c r="M229" s="58" t="str">
        <f t="shared" si="27"/>
        <v/>
      </c>
      <c r="N229" s="57"/>
      <c r="O229" s="60" t="str">
        <f t="shared" si="28"/>
        <v/>
      </c>
      <c r="P229" s="60" t="str">
        <f t="shared" si="29"/>
        <v/>
      </c>
      <c r="Q229" s="60" t="str">
        <f t="shared" si="34"/>
        <v/>
      </c>
      <c r="R229" s="57"/>
      <c r="S229" s="58" t="str">
        <f t="shared" si="30"/>
        <v/>
      </c>
      <c r="T229" s="58" t="str">
        <f t="shared" si="31"/>
        <v/>
      </c>
      <c r="U229" s="61" t="str">
        <f t="shared" si="35"/>
        <v/>
      </c>
      <c r="V229" s="58" t="str">
        <f t="shared" si="32"/>
        <v/>
      </c>
      <c r="W229" s="57"/>
    </row>
    <row r="230" spans="1:23" s="59" customFormat="1" x14ac:dyDescent="0.25">
      <c r="A230" s="53"/>
      <c r="B230" s="54" t="str">
        <f>IF($B229="","",IF($B229+1&gt;dropdown!$D$12,"",Schema!B229+1))</f>
        <v/>
      </c>
      <c r="C230" s="55" t="str">
        <f>IF($B229="","",IF($B229+1&gt;dropdown!$D$12,"",EOMONTH(C229,0)+1))</f>
        <v/>
      </c>
      <c r="D230" s="53"/>
      <c r="E230" s="55" t="str">
        <f>IF($B229="","",IF($B229+1&gt;dropdown!$D$12,"",F229+1))</f>
        <v/>
      </c>
      <c r="F230" s="55" t="str">
        <f>IF($B229="","",IF($B229+1&gt;dropdown!$D$12,"",EOMONTH(E230,0)))</f>
        <v/>
      </c>
      <c r="G230" s="56" t="str">
        <f>IF($B229="","",IF($B229+1&gt;dropdown!$D$12,"",(_xlfn.DAYS(F230,E230)+1)/DAY(F230)))</f>
        <v/>
      </c>
      <c r="H230" s="57"/>
      <c r="I230" s="58" t="str">
        <f>IF($B229="","",IF($B229+1&gt;dropdown!$D$12,"",I229-J229))</f>
        <v/>
      </c>
      <c r="J230" s="58" t="str">
        <f>IF($B229="","",IF($B229+1&gt;dropdown!$D$12,"",IF(B229&lt;dropdown!$D$13,0,IF(Aflossingsmethode="Lineair",Aflossingsbedrag,IF(Aflossingsmethode="Annuïteit",IFERROR(Bedrag_annuïteit-K230,0),0)))))</f>
        <v/>
      </c>
      <c r="K230" s="58" t="str">
        <f>IF($B229="","",IF($B229+1&gt;dropdown!$D$12,"",G230*I230*Rentekosten))</f>
        <v/>
      </c>
      <c r="L230" s="58" t="str">
        <f t="shared" si="33"/>
        <v/>
      </c>
      <c r="M230" s="58" t="str">
        <f t="shared" si="27"/>
        <v/>
      </c>
      <c r="N230" s="57"/>
      <c r="O230" s="60" t="str">
        <f t="shared" si="28"/>
        <v/>
      </c>
      <c r="P230" s="60" t="str">
        <f t="shared" si="29"/>
        <v/>
      </c>
      <c r="Q230" s="60" t="str">
        <f t="shared" si="34"/>
        <v/>
      </c>
      <c r="R230" s="57"/>
      <c r="S230" s="58" t="str">
        <f t="shared" si="30"/>
        <v/>
      </c>
      <c r="T230" s="58" t="str">
        <f t="shared" si="31"/>
        <v/>
      </c>
      <c r="U230" s="61" t="str">
        <f t="shared" si="35"/>
        <v/>
      </c>
      <c r="V230" s="58" t="str">
        <f t="shared" si="32"/>
        <v/>
      </c>
      <c r="W230" s="57"/>
    </row>
    <row r="231" spans="1:23" s="59" customFormat="1" x14ac:dyDescent="0.25">
      <c r="A231" s="53"/>
      <c r="B231" s="54" t="str">
        <f>IF($B230="","",IF($B230+1&gt;dropdown!$D$12,"",Schema!B230+1))</f>
        <v/>
      </c>
      <c r="C231" s="55" t="str">
        <f>IF($B230="","",IF($B230+1&gt;dropdown!$D$12,"",EOMONTH(C230,0)+1))</f>
        <v/>
      </c>
      <c r="D231" s="53"/>
      <c r="E231" s="55" t="str">
        <f>IF($B230="","",IF($B230+1&gt;dropdown!$D$12,"",F230+1))</f>
        <v/>
      </c>
      <c r="F231" s="55" t="str">
        <f>IF($B230="","",IF($B230+1&gt;dropdown!$D$12,"",EOMONTH(E231,0)))</f>
        <v/>
      </c>
      <c r="G231" s="56" t="str">
        <f>IF($B230="","",IF($B230+1&gt;dropdown!$D$12,"",(_xlfn.DAYS(F231,E231)+1)/DAY(F231)))</f>
        <v/>
      </c>
      <c r="H231" s="57"/>
      <c r="I231" s="58" t="str">
        <f>IF($B230="","",IF($B230+1&gt;dropdown!$D$12,"",I230-J230))</f>
        <v/>
      </c>
      <c r="J231" s="58" t="str">
        <f>IF($B230="","",IF($B230+1&gt;dropdown!$D$12,"",IF(B230&lt;dropdown!$D$13,0,IF(Aflossingsmethode="Lineair",Aflossingsbedrag,IF(Aflossingsmethode="Annuïteit",IFERROR(Bedrag_annuïteit-K231,0),0)))))</f>
        <v/>
      </c>
      <c r="K231" s="58" t="str">
        <f>IF($B230="","",IF($B230+1&gt;dropdown!$D$12,"",G231*I231*Rentekosten))</f>
        <v/>
      </c>
      <c r="L231" s="58" t="str">
        <f t="shared" si="33"/>
        <v/>
      </c>
      <c r="M231" s="58" t="str">
        <f t="shared" si="27"/>
        <v/>
      </c>
      <c r="N231" s="57"/>
      <c r="O231" s="60" t="str">
        <f t="shared" si="28"/>
        <v/>
      </c>
      <c r="P231" s="60" t="str">
        <f t="shared" si="29"/>
        <v/>
      </c>
      <c r="Q231" s="60" t="str">
        <f t="shared" si="34"/>
        <v/>
      </c>
      <c r="R231" s="57"/>
      <c r="S231" s="58" t="str">
        <f t="shared" si="30"/>
        <v/>
      </c>
      <c r="T231" s="58" t="str">
        <f t="shared" si="31"/>
        <v/>
      </c>
      <c r="U231" s="61" t="str">
        <f t="shared" si="35"/>
        <v/>
      </c>
      <c r="V231" s="58" t="str">
        <f t="shared" si="32"/>
        <v/>
      </c>
      <c r="W231" s="57"/>
    </row>
    <row r="232" spans="1:23" s="59" customFormat="1" x14ac:dyDescent="0.25">
      <c r="A232" s="53"/>
      <c r="B232" s="54" t="str">
        <f>IF($B231="","",IF($B231+1&gt;dropdown!$D$12,"",Schema!B231+1))</f>
        <v/>
      </c>
      <c r="C232" s="55" t="str">
        <f>IF($B231="","",IF($B231+1&gt;dropdown!$D$12,"",EOMONTH(C231,0)+1))</f>
        <v/>
      </c>
      <c r="D232" s="53"/>
      <c r="E232" s="55" t="str">
        <f>IF($B231="","",IF($B231+1&gt;dropdown!$D$12,"",F231+1))</f>
        <v/>
      </c>
      <c r="F232" s="55" t="str">
        <f>IF($B231="","",IF($B231+1&gt;dropdown!$D$12,"",EOMONTH(E232,0)))</f>
        <v/>
      </c>
      <c r="G232" s="56" t="str">
        <f>IF($B231="","",IF($B231+1&gt;dropdown!$D$12,"",(_xlfn.DAYS(F232,E232)+1)/DAY(F232)))</f>
        <v/>
      </c>
      <c r="H232" s="57"/>
      <c r="I232" s="58" t="str">
        <f>IF($B231="","",IF($B231+1&gt;dropdown!$D$12,"",I231-J231))</f>
        <v/>
      </c>
      <c r="J232" s="58" t="str">
        <f>IF($B231="","",IF($B231+1&gt;dropdown!$D$12,"",IF(B231&lt;dropdown!$D$13,0,IF(Aflossingsmethode="Lineair",Aflossingsbedrag,IF(Aflossingsmethode="Annuïteit",IFERROR(Bedrag_annuïteit-K232,0),0)))))</f>
        <v/>
      </c>
      <c r="K232" s="58" t="str">
        <f>IF($B231="","",IF($B231+1&gt;dropdown!$D$12,"",G232*I232*Rentekosten))</f>
        <v/>
      </c>
      <c r="L232" s="58" t="str">
        <f t="shared" si="33"/>
        <v/>
      </c>
      <c r="M232" s="58" t="str">
        <f t="shared" si="27"/>
        <v/>
      </c>
      <c r="N232" s="57"/>
      <c r="O232" s="60" t="str">
        <f t="shared" si="28"/>
        <v/>
      </c>
      <c r="P232" s="60" t="str">
        <f t="shared" si="29"/>
        <v/>
      </c>
      <c r="Q232" s="60" t="str">
        <f t="shared" si="34"/>
        <v/>
      </c>
      <c r="R232" s="57"/>
      <c r="S232" s="58" t="str">
        <f t="shared" si="30"/>
        <v/>
      </c>
      <c r="T232" s="58" t="str">
        <f t="shared" si="31"/>
        <v/>
      </c>
      <c r="U232" s="61" t="str">
        <f t="shared" si="35"/>
        <v/>
      </c>
      <c r="V232" s="58" t="str">
        <f t="shared" si="32"/>
        <v/>
      </c>
      <c r="W232" s="57"/>
    </row>
    <row r="233" spans="1:23" s="59" customFormat="1" x14ac:dyDescent="0.25">
      <c r="A233" s="53"/>
      <c r="B233" s="54" t="str">
        <f>IF($B232="","",IF($B232+1&gt;dropdown!$D$12,"",Schema!B232+1))</f>
        <v/>
      </c>
      <c r="C233" s="55" t="str">
        <f>IF($B232="","",IF($B232+1&gt;dropdown!$D$12,"",EOMONTH(C232,0)+1))</f>
        <v/>
      </c>
      <c r="D233" s="53"/>
      <c r="E233" s="55" t="str">
        <f>IF($B232="","",IF($B232+1&gt;dropdown!$D$12,"",F232+1))</f>
        <v/>
      </c>
      <c r="F233" s="55" t="str">
        <f>IF($B232="","",IF($B232+1&gt;dropdown!$D$12,"",EOMONTH(E233,0)))</f>
        <v/>
      </c>
      <c r="G233" s="56" t="str">
        <f>IF($B232="","",IF($B232+1&gt;dropdown!$D$12,"",(_xlfn.DAYS(F233,E233)+1)/DAY(F233)))</f>
        <v/>
      </c>
      <c r="H233" s="57"/>
      <c r="I233" s="58" t="str">
        <f>IF($B232="","",IF($B232+1&gt;dropdown!$D$12,"",I232-J232))</f>
        <v/>
      </c>
      <c r="J233" s="58" t="str">
        <f>IF($B232="","",IF($B232+1&gt;dropdown!$D$12,"",IF(B232&lt;dropdown!$D$13,0,IF(Aflossingsmethode="Lineair",Aflossingsbedrag,IF(Aflossingsmethode="Annuïteit",IFERROR(Bedrag_annuïteit-K233,0),0)))))</f>
        <v/>
      </c>
      <c r="K233" s="58" t="str">
        <f>IF($B232="","",IF($B232+1&gt;dropdown!$D$12,"",G233*I233*Rentekosten))</f>
        <v/>
      </c>
      <c r="L233" s="58" t="str">
        <f t="shared" si="33"/>
        <v/>
      </c>
      <c r="M233" s="58" t="str">
        <f t="shared" si="27"/>
        <v/>
      </c>
      <c r="N233" s="57"/>
      <c r="O233" s="60" t="str">
        <f t="shared" si="28"/>
        <v/>
      </c>
      <c r="P233" s="60" t="str">
        <f t="shared" si="29"/>
        <v/>
      </c>
      <c r="Q233" s="60" t="str">
        <f t="shared" si="34"/>
        <v/>
      </c>
      <c r="R233" s="57"/>
      <c r="S233" s="58" t="str">
        <f t="shared" si="30"/>
        <v/>
      </c>
      <c r="T233" s="58" t="str">
        <f t="shared" si="31"/>
        <v/>
      </c>
      <c r="U233" s="61" t="str">
        <f t="shared" si="35"/>
        <v/>
      </c>
      <c r="V233" s="58" t="str">
        <f t="shared" si="32"/>
        <v/>
      </c>
      <c r="W233" s="57"/>
    </row>
    <row r="234" spans="1:23" s="59" customFormat="1" x14ac:dyDescent="0.25">
      <c r="A234" s="53"/>
      <c r="B234" s="54" t="str">
        <f>IF($B233="","",IF($B233+1&gt;dropdown!$D$12,"",Schema!B233+1))</f>
        <v/>
      </c>
      <c r="C234" s="55" t="str">
        <f>IF($B233="","",IF($B233+1&gt;dropdown!$D$12,"",EOMONTH(C233,0)+1))</f>
        <v/>
      </c>
      <c r="D234" s="53"/>
      <c r="E234" s="55" t="str">
        <f>IF($B233="","",IF($B233+1&gt;dropdown!$D$12,"",F233+1))</f>
        <v/>
      </c>
      <c r="F234" s="55" t="str">
        <f>IF($B233="","",IF($B233+1&gt;dropdown!$D$12,"",EOMONTH(E234,0)))</f>
        <v/>
      </c>
      <c r="G234" s="56" t="str">
        <f>IF($B233="","",IF($B233+1&gt;dropdown!$D$12,"",(_xlfn.DAYS(F234,E234)+1)/DAY(F234)))</f>
        <v/>
      </c>
      <c r="H234" s="57"/>
      <c r="I234" s="58" t="str">
        <f>IF($B233="","",IF($B233+1&gt;dropdown!$D$12,"",I233-J233))</f>
        <v/>
      </c>
      <c r="J234" s="58" t="str">
        <f>IF($B233="","",IF($B233+1&gt;dropdown!$D$12,"",IF(B233&lt;dropdown!$D$13,0,IF(Aflossingsmethode="Lineair",Aflossingsbedrag,IF(Aflossingsmethode="Annuïteit",IFERROR(Bedrag_annuïteit-K234,0),0)))))</f>
        <v/>
      </c>
      <c r="K234" s="58" t="str">
        <f>IF($B233="","",IF($B233+1&gt;dropdown!$D$12,"",G234*I234*Rentekosten))</f>
        <v/>
      </c>
      <c r="L234" s="58" t="str">
        <f t="shared" si="33"/>
        <v/>
      </c>
      <c r="M234" s="58" t="str">
        <f t="shared" si="27"/>
        <v/>
      </c>
      <c r="N234" s="57"/>
      <c r="O234" s="60" t="str">
        <f t="shared" si="28"/>
        <v/>
      </c>
      <c r="P234" s="60" t="str">
        <f t="shared" si="29"/>
        <v/>
      </c>
      <c r="Q234" s="60" t="str">
        <f t="shared" si="34"/>
        <v/>
      </c>
      <c r="R234" s="57"/>
      <c r="S234" s="58" t="str">
        <f t="shared" si="30"/>
        <v/>
      </c>
      <c r="T234" s="58" t="str">
        <f t="shared" si="31"/>
        <v/>
      </c>
      <c r="U234" s="61" t="str">
        <f t="shared" si="35"/>
        <v/>
      </c>
      <c r="V234" s="58" t="str">
        <f t="shared" si="32"/>
        <v/>
      </c>
      <c r="W234" s="57"/>
    </row>
    <row r="235" spans="1:23" s="59" customFormat="1" x14ac:dyDescent="0.25">
      <c r="A235" s="53"/>
      <c r="B235" s="54" t="str">
        <f>IF($B234="","",IF($B234+1&gt;dropdown!$D$12,"",Schema!B234+1))</f>
        <v/>
      </c>
      <c r="C235" s="55" t="str">
        <f>IF($B234="","",IF($B234+1&gt;dropdown!$D$12,"",EOMONTH(C234,0)+1))</f>
        <v/>
      </c>
      <c r="D235" s="53"/>
      <c r="E235" s="55" t="str">
        <f>IF($B234="","",IF($B234+1&gt;dropdown!$D$12,"",F234+1))</f>
        <v/>
      </c>
      <c r="F235" s="55" t="str">
        <f>IF($B234="","",IF($B234+1&gt;dropdown!$D$12,"",EOMONTH(E235,0)))</f>
        <v/>
      </c>
      <c r="G235" s="56" t="str">
        <f>IF($B234="","",IF($B234+1&gt;dropdown!$D$12,"",(_xlfn.DAYS(F235,E235)+1)/DAY(F235)))</f>
        <v/>
      </c>
      <c r="H235" s="57"/>
      <c r="I235" s="58" t="str">
        <f>IF($B234="","",IF($B234+1&gt;dropdown!$D$12,"",I234-J234))</f>
        <v/>
      </c>
      <c r="J235" s="58" t="str">
        <f>IF($B234="","",IF($B234+1&gt;dropdown!$D$12,"",IF(B234&lt;dropdown!$D$13,0,IF(Aflossingsmethode="Lineair",Aflossingsbedrag,IF(Aflossingsmethode="Annuïteit",IFERROR(Bedrag_annuïteit-K235,0),0)))))</f>
        <v/>
      </c>
      <c r="K235" s="58" t="str">
        <f>IF($B234="","",IF($B234+1&gt;dropdown!$D$12,"",G235*I235*Rentekosten))</f>
        <v/>
      </c>
      <c r="L235" s="58" t="str">
        <f t="shared" si="33"/>
        <v/>
      </c>
      <c r="M235" s="58" t="str">
        <f t="shared" si="27"/>
        <v/>
      </c>
      <c r="N235" s="57"/>
      <c r="O235" s="60" t="str">
        <f t="shared" si="28"/>
        <v/>
      </c>
      <c r="P235" s="60" t="str">
        <f t="shared" si="29"/>
        <v/>
      </c>
      <c r="Q235" s="60" t="str">
        <f t="shared" si="34"/>
        <v/>
      </c>
      <c r="R235" s="57"/>
      <c r="S235" s="58" t="str">
        <f t="shared" si="30"/>
        <v/>
      </c>
      <c r="T235" s="58" t="str">
        <f t="shared" si="31"/>
        <v/>
      </c>
      <c r="U235" s="61" t="str">
        <f t="shared" si="35"/>
        <v/>
      </c>
      <c r="V235" s="58" t="str">
        <f t="shared" si="32"/>
        <v/>
      </c>
      <c r="W235" s="57"/>
    </row>
    <row r="236" spans="1:23" s="59" customFormat="1" x14ac:dyDescent="0.25">
      <c r="A236" s="53"/>
      <c r="B236" s="54" t="str">
        <f>IF($B235="","",IF($B235+1&gt;dropdown!$D$12,"",Schema!B235+1))</f>
        <v/>
      </c>
      <c r="C236" s="55" t="str">
        <f>IF($B235="","",IF($B235+1&gt;dropdown!$D$12,"",EOMONTH(C235,0)+1))</f>
        <v/>
      </c>
      <c r="D236" s="53"/>
      <c r="E236" s="55" t="str">
        <f>IF($B235="","",IF($B235+1&gt;dropdown!$D$12,"",F235+1))</f>
        <v/>
      </c>
      <c r="F236" s="55" t="str">
        <f>IF($B235="","",IF($B235+1&gt;dropdown!$D$12,"",EOMONTH(E236,0)))</f>
        <v/>
      </c>
      <c r="G236" s="56" t="str">
        <f>IF($B235="","",IF($B235+1&gt;dropdown!$D$12,"",(_xlfn.DAYS(F236,E236)+1)/DAY(F236)))</f>
        <v/>
      </c>
      <c r="H236" s="57"/>
      <c r="I236" s="58" t="str">
        <f>IF($B235="","",IF($B235+1&gt;dropdown!$D$12,"",I235-J235))</f>
        <v/>
      </c>
      <c r="J236" s="58" t="str">
        <f>IF($B235="","",IF($B235+1&gt;dropdown!$D$12,"",IF(B235&lt;dropdown!$D$13,0,IF(Aflossingsmethode="Lineair",Aflossingsbedrag,IF(Aflossingsmethode="Annuïteit",IFERROR(Bedrag_annuïteit-K236,0),0)))))</f>
        <v/>
      </c>
      <c r="K236" s="58" t="str">
        <f>IF($B235="","",IF($B235+1&gt;dropdown!$D$12,"",G236*I236*Rentekosten))</f>
        <v/>
      </c>
      <c r="L236" s="58" t="str">
        <f t="shared" si="33"/>
        <v/>
      </c>
      <c r="M236" s="58" t="str">
        <f t="shared" si="27"/>
        <v/>
      </c>
      <c r="N236" s="57"/>
      <c r="O236" s="60" t="str">
        <f t="shared" si="28"/>
        <v/>
      </c>
      <c r="P236" s="60" t="str">
        <f t="shared" si="29"/>
        <v/>
      </c>
      <c r="Q236" s="60" t="str">
        <f t="shared" si="34"/>
        <v/>
      </c>
      <c r="R236" s="57"/>
      <c r="S236" s="58" t="str">
        <f t="shared" si="30"/>
        <v/>
      </c>
      <c r="T236" s="58" t="str">
        <f t="shared" si="31"/>
        <v/>
      </c>
      <c r="U236" s="61" t="str">
        <f t="shared" si="35"/>
        <v/>
      </c>
      <c r="V236" s="58" t="str">
        <f t="shared" si="32"/>
        <v/>
      </c>
      <c r="W236" s="57"/>
    </row>
    <row r="237" spans="1:23" s="59" customFormat="1" x14ac:dyDescent="0.25">
      <c r="A237" s="53"/>
      <c r="B237" s="54" t="str">
        <f>IF($B236="","",IF($B236+1&gt;dropdown!$D$12,"",Schema!B236+1))</f>
        <v/>
      </c>
      <c r="C237" s="55" t="str">
        <f>IF($B236="","",IF($B236+1&gt;dropdown!$D$12,"",EOMONTH(C236,0)+1))</f>
        <v/>
      </c>
      <c r="D237" s="53"/>
      <c r="E237" s="55" t="str">
        <f>IF($B236="","",IF($B236+1&gt;dropdown!$D$12,"",F236+1))</f>
        <v/>
      </c>
      <c r="F237" s="55" t="str">
        <f>IF($B236="","",IF($B236+1&gt;dropdown!$D$12,"",EOMONTH(E237,0)))</f>
        <v/>
      </c>
      <c r="G237" s="56" t="str">
        <f>IF($B236="","",IF($B236+1&gt;dropdown!$D$12,"",(_xlfn.DAYS(F237,E237)+1)/DAY(F237)))</f>
        <v/>
      </c>
      <c r="H237" s="57"/>
      <c r="I237" s="58" t="str">
        <f>IF($B236="","",IF($B236+1&gt;dropdown!$D$12,"",I236-J236))</f>
        <v/>
      </c>
      <c r="J237" s="58" t="str">
        <f>IF($B236="","",IF($B236+1&gt;dropdown!$D$12,"",IF(B236&lt;dropdown!$D$13,0,IF(Aflossingsmethode="Lineair",Aflossingsbedrag,IF(Aflossingsmethode="Annuïteit",IFERROR(Bedrag_annuïteit-K237,0),0)))))</f>
        <v/>
      </c>
      <c r="K237" s="58" t="str">
        <f>IF($B236="","",IF($B236+1&gt;dropdown!$D$12,"",G237*I237*Rentekosten))</f>
        <v/>
      </c>
      <c r="L237" s="58" t="str">
        <f t="shared" si="33"/>
        <v/>
      </c>
      <c r="M237" s="58" t="str">
        <f t="shared" si="27"/>
        <v/>
      </c>
      <c r="N237" s="57"/>
      <c r="O237" s="60" t="str">
        <f t="shared" si="28"/>
        <v/>
      </c>
      <c r="P237" s="60" t="str">
        <f t="shared" si="29"/>
        <v/>
      </c>
      <c r="Q237" s="60" t="str">
        <f t="shared" si="34"/>
        <v/>
      </c>
      <c r="R237" s="57"/>
      <c r="S237" s="58" t="str">
        <f t="shared" si="30"/>
        <v/>
      </c>
      <c r="T237" s="58" t="str">
        <f t="shared" si="31"/>
        <v/>
      </c>
      <c r="U237" s="61" t="str">
        <f t="shared" si="35"/>
        <v/>
      </c>
      <c r="V237" s="58" t="str">
        <f t="shared" si="32"/>
        <v/>
      </c>
      <c r="W237" s="57"/>
    </row>
    <row r="238" spans="1:23" s="59" customFormat="1" x14ac:dyDescent="0.25">
      <c r="A238" s="53"/>
      <c r="B238" s="54" t="str">
        <f>IF($B237="","",IF($B237+1&gt;dropdown!$D$12,"",Schema!B237+1))</f>
        <v/>
      </c>
      <c r="C238" s="55" t="str">
        <f>IF($B237="","",IF($B237+1&gt;dropdown!$D$12,"",EOMONTH(C237,0)+1))</f>
        <v/>
      </c>
      <c r="D238" s="53"/>
      <c r="E238" s="55" t="str">
        <f>IF($B237="","",IF($B237+1&gt;dropdown!$D$12,"",F237+1))</f>
        <v/>
      </c>
      <c r="F238" s="55" t="str">
        <f>IF($B237="","",IF($B237+1&gt;dropdown!$D$12,"",EOMONTH(E238,0)))</f>
        <v/>
      </c>
      <c r="G238" s="56" t="str">
        <f>IF($B237="","",IF($B237+1&gt;dropdown!$D$12,"",(_xlfn.DAYS(F238,E238)+1)/DAY(F238)))</f>
        <v/>
      </c>
      <c r="H238" s="57"/>
      <c r="I238" s="58" t="str">
        <f>IF($B237="","",IF($B237+1&gt;dropdown!$D$12,"",I237-J237))</f>
        <v/>
      </c>
      <c r="J238" s="58" t="str">
        <f>IF($B237="","",IF($B237+1&gt;dropdown!$D$12,"",IF(B237&lt;dropdown!$D$13,0,IF(Aflossingsmethode="Lineair",Aflossingsbedrag,IF(Aflossingsmethode="Annuïteit",IFERROR(Bedrag_annuïteit-K238,0),0)))))</f>
        <v/>
      </c>
      <c r="K238" s="58" t="str">
        <f>IF($B237="","",IF($B237+1&gt;dropdown!$D$12,"",G238*I238*Rentekosten))</f>
        <v/>
      </c>
      <c r="L238" s="58" t="str">
        <f t="shared" si="33"/>
        <v/>
      </c>
      <c r="M238" s="58" t="str">
        <f t="shared" si="27"/>
        <v/>
      </c>
      <c r="N238" s="57"/>
      <c r="O238" s="60" t="str">
        <f t="shared" si="28"/>
        <v/>
      </c>
      <c r="P238" s="60" t="str">
        <f t="shared" si="29"/>
        <v/>
      </c>
      <c r="Q238" s="60" t="str">
        <f t="shared" si="34"/>
        <v/>
      </c>
      <c r="R238" s="57"/>
      <c r="S238" s="58" t="str">
        <f t="shared" si="30"/>
        <v/>
      </c>
      <c r="T238" s="58" t="str">
        <f t="shared" si="31"/>
        <v/>
      </c>
      <c r="U238" s="61" t="str">
        <f t="shared" si="35"/>
        <v/>
      </c>
      <c r="V238" s="58" t="str">
        <f t="shared" si="32"/>
        <v/>
      </c>
      <c r="W238" s="57"/>
    </row>
    <row r="239" spans="1:23" s="59" customFormat="1" x14ac:dyDescent="0.25">
      <c r="A239" s="53"/>
      <c r="B239" s="54" t="str">
        <f>IF($B238="","",IF($B238+1&gt;dropdown!$D$12,"",Schema!B238+1))</f>
        <v/>
      </c>
      <c r="C239" s="55" t="str">
        <f>IF($B238="","",IF($B238+1&gt;dropdown!$D$12,"",EOMONTH(C238,0)+1))</f>
        <v/>
      </c>
      <c r="D239" s="53"/>
      <c r="E239" s="55" t="str">
        <f>IF($B238="","",IF($B238+1&gt;dropdown!$D$12,"",F238+1))</f>
        <v/>
      </c>
      <c r="F239" s="55" t="str">
        <f>IF($B238="","",IF($B238+1&gt;dropdown!$D$12,"",EOMONTH(E239,0)))</f>
        <v/>
      </c>
      <c r="G239" s="56" t="str">
        <f>IF($B238="","",IF($B238+1&gt;dropdown!$D$12,"",(_xlfn.DAYS(F239,E239)+1)/DAY(F239)))</f>
        <v/>
      </c>
      <c r="H239" s="57"/>
      <c r="I239" s="58" t="str">
        <f>IF($B238="","",IF($B238+1&gt;dropdown!$D$12,"",I238-J238))</f>
        <v/>
      </c>
      <c r="J239" s="58" t="str">
        <f>IF($B238="","",IF($B238+1&gt;dropdown!$D$12,"",IF(B238&lt;dropdown!$D$13,0,IF(Aflossingsmethode="Lineair",Aflossingsbedrag,IF(Aflossingsmethode="Annuïteit",IFERROR(Bedrag_annuïteit-K239,0),0)))))</f>
        <v/>
      </c>
      <c r="K239" s="58" t="str">
        <f>IF($B238="","",IF($B238+1&gt;dropdown!$D$12,"",G239*I239*Rentekosten))</f>
        <v/>
      </c>
      <c r="L239" s="58" t="str">
        <f t="shared" si="33"/>
        <v/>
      </c>
      <c r="M239" s="58" t="str">
        <f t="shared" si="27"/>
        <v/>
      </c>
      <c r="N239" s="57"/>
      <c r="O239" s="60" t="str">
        <f t="shared" si="28"/>
        <v/>
      </c>
      <c r="P239" s="60" t="str">
        <f t="shared" si="29"/>
        <v/>
      </c>
      <c r="Q239" s="60" t="str">
        <f t="shared" si="34"/>
        <v/>
      </c>
      <c r="R239" s="57"/>
      <c r="S239" s="58" t="str">
        <f t="shared" si="30"/>
        <v/>
      </c>
      <c r="T239" s="58" t="str">
        <f t="shared" si="31"/>
        <v/>
      </c>
      <c r="U239" s="61" t="str">
        <f t="shared" si="35"/>
        <v/>
      </c>
      <c r="V239" s="58" t="str">
        <f t="shared" si="32"/>
        <v/>
      </c>
      <c r="W239" s="57"/>
    </row>
    <row r="240" spans="1:23" s="59" customFormat="1" x14ac:dyDescent="0.25">
      <c r="A240" s="53"/>
      <c r="B240" s="54" t="str">
        <f>IF($B239="","",IF($B239+1&gt;dropdown!$D$12,"",Schema!B239+1))</f>
        <v/>
      </c>
      <c r="C240" s="55" t="str">
        <f>IF($B239="","",IF($B239+1&gt;dropdown!$D$12,"",EOMONTH(C239,0)+1))</f>
        <v/>
      </c>
      <c r="D240" s="53"/>
      <c r="E240" s="55" t="str">
        <f>IF($B239="","",IF($B239+1&gt;dropdown!$D$12,"",F239+1))</f>
        <v/>
      </c>
      <c r="F240" s="55" t="str">
        <f>IF($B239="","",IF($B239+1&gt;dropdown!$D$12,"",EOMONTH(E240,0)))</f>
        <v/>
      </c>
      <c r="G240" s="56" t="str">
        <f>IF($B239="","",IF($B239+1&gt;dropdown!$D$12,"",(_xlfn.DAYS(F240,E240)+1)/DAY(F240)))</f>
        <v/>
      </c>
      <c r="H240" s="57"/>
      <c r="I240" s="58" t="str">
        <f>IF($B239="","",IF($B239+1&gt;dropdown!$D$12,"",I239-J239))</f>
        <v/>
      </c>
      <c r="J240" s="58" t="str">
        <f>IF($B239="","",IF($B239+1&gt;dropdown!$D$12,"",IF(B239&lt;dropdown!$D$13,0,IF(Aflossingsmethode="Lineair",Aflossingsbedrag,IF(Aflossingsmethode="Annuïteit",IFERROR(Bedrag_annuïteit-K240,0),0)))))</f>
        <v/>
      </c>
      <c r="K240" s="58" t="str">
        <f>IF($B239="","",IF($B239+1&gt;dropdown!$D$12,"",G240*I240*Rentekosten))</f>
        <v/>
      </c>
      <c r="L240" s="58" t="str">
        <f t="shared" si="33"/>
        <v/>
      </c>
      <c r="M240" s="58" t="str">
        <f t="shared" si="27"/>
        <v/>
      </c>
      <c r="N240" s="57"/>
      <c r="O240" s="60" t="str">
        <f t="shared" si="28"/>
        <v/>
      </c>
      <c r="P240" s="60" t="str">
        <f t="shared" si="29"/>
        <v/>
      </c>
      <c r="Q240" s="60" t="str">
        <f t="shared" si="34"/>
        <v/>
      </c>
      <c r="R240" s="57"/>
      <c r="S240" s="58" t="str">
        <f t="shared" si="30"/>
        <v/>
      </c>
      <c r="T240" s="58" t="str">
        <f t="shared" si="31"/>
        <v/>
      </c>
      <c r="U240" s="61" t="str">
        <f t="shared" si="35"/>
        <v/>
      </c>
      <c r="V240" s="58" t="str">
        <f t="shared" si="32"/>
        <v/>
      </c>
      <c r="W240" s="57"/>
    </row>
    <row r="241" spans="1:23" s="59" customFormat="1" x14ac:dyDescent="0.25">
      <c r="A241" s="53"/>
      <c r="B241" s="54" t="str">
        <f>IF($B240="","",IF($B240+1&gt;dropdown!$D$12,"",Schema!B240+1))</f>
        <v/>
      </c>
      <c r="C241" s="55" t="str">
        <f>IF($B240="","",IF($B240+1&gt;dropdown!$D$12,"",EOMONTH(C240,0)+1))</f>
        <v/>
      </c>
      <c r="D241" s="53"/>
      <c r="E241" s="55" t="str">
        <f>IF($B240="","",IF($B240+1&gt;dropdown!$D$12,"",F240+1))</f>
        <v/>
      </c>
      <c r="F241" s="55" t="str">
        <f>IF($B240="","",IF($B240+1&gt;dropdown!$D$12,"",EOMONTH(E241,0)))</f>
        <v/>
      </c>
      <c r="G241" s="56" t="str">
        <f>IF($B240="","",IF($B240+1&gt;dropdown!$D$12,"",(_xlfn.DAYS(F241,E241)+1)/DAY(F241)))</f>
        <v/>
      </c>
      <c r="H241" s="57"/>
      <c r="I241" s="58" t="str">
        <f>IF($B240="","",IF($B240+1&gt;dropdown!$D$12,"",I240-J240))</f>
        <v/>
      </c>
      <c r="J241" s="58" t="str">
        <f>IF($B240="","",IF($B240+1&gt;dropdown!$D$12,"",IF(B240&lt;dropdown!$D$13,0,IF(Aflossingsmethode="Lineair",Aflossingsbedrag,IF(Aflossingsmethode="Annuïteit",IFERROR(Bedrag_annuïteit-K241,0),0)))))</f>
        <v/>
      </c>
      <c r="K241" s="58" t="str">
        <f>IF($B240="","",IF($B240+1&gt;dropdown!$D$12,"",G241*I241*Rentekosten))</f>
        <v/>
      </c>
      <c r="L241" s="58" t="str">
        <f t="shared" si="33"/>
        <v/>
      </c>
      <c r="M241" s="58" t="str">
        <f t="shared" si="27"/>
        <v/>
      </c>
      <c r="N241" s="57"/>
      <c r="O241" s="60" t="str">
        <f t="shared" si="28"/>
        <v/>
      </c>
      <c r="P241" s="60" t="str">
        <f t="shared" si="29"/>
        <v/>
      </c>
      <c r="Q241" s="60" t="str">
        <f t="shared" si="34"/>
        <v/>
      </c>
      <c r="R241" s="57"/>
      <c r="S241" s="58" t="str">
        <f t="shared" si="30"/>
        <v/>
      </c>
      <c r="T241" s="58" t="str">
        <f t="shared" si="31"/>
        <v/>
      </c>
      <c r="U241" s="61" t="str">
        <f t="shared" si="35"/>
        <v/>
      </c>
      <c r="V241" s="58" t="str">
        <f t="shared" si="32"/>
        <v/>
      </c>
      <c r="W241" s="57"/>
    </row>
    <row r="242" spans="1:23" s="59" customFormat="1" x14ac:dyDescent="0.25">
      <c r="A242" s="53"/>
      <c r="B242" s="54" t="str">
        <f>IF($B241="","",IF($B241+1&gt;dropdown!$D$12,"",Schema!B241+1))</f>
        <v/>
      </c>
      <c r="C242" s="55" t="str">
        <f>IF($B241="","",IF($B241+1&gt;dropdown!$D$12,"",EOMONTH(C241,0)+1))</f>
        <v/>
      </c>
      <c r="D242" s="53"/>
      <c r="E242" s="55" t="str">
        <f>IF($B241="","",IF($B241+1&gt;dropdown!$D$12,"",F241+1))</f>
        <v/>
      </c>
      <c r="F242" s="55" t="str">
        <f>IF($B241="","",IF($B241+1&gt;dropdown!$D$12,"",EOMONTH(E242,0)))</f>
        <v/>
      </c>
      <c r="G242" s="56" t="str">
        <f>IF($B241="","",IF($B241+1&gt;dropdown!$D$12,"",(_xlfn.DAYS(F242,E242)+1)/DAY(F242)))</f>
        <v/>
      </c>
      <c r="H242" s="57"/>
      <c r="I242" s="58" t="str">
        <f>IF($B241="","",IF($B241+1&gt;dropdown!$D$12,"",I241-J241))</f>
        <v/>
      </c>
      <c r="J242" s="58" t="str">
        <f>IF($B241="","",IF($B241+1&gt;dropdown!$D$12,"",IF(B241&lt;dropdown!$D$13,0,IF(Aflossingsmethode="Lineair",Aflossingsbedrag,IF(Aflossingsmethode="Annuïteit",IFERROR(Bedrag_annuïteit-K242,0),0)))))</f>
        <v/>
      </c>
      <c r="K242" s="58" t="str">
        <f>IF($B241="","",IF($B241+1&gt;dropdown!$D$12,"",G242*I242*Rentekosten))</f>
        <v/>
      </c>
      <c r="L242" s="58" t="str">
        <f t="shared" si="33"/>
        <v/>
      </c>
      <c r="M242" s="58" t="str">
        <f t="shared" si="27"/>
        <v/>
      </c>
      <c r="N242" s="57"/>
      <c r="O242" s="60" t="str">
        <f t="shared" si="28"/>
        <v/>
      </c>
      <c r="P242" s="60" t="str">
        <f t="shared" si="29"/>
        <v/>
      </c>
      <c r="Q242" s="60" t="str">
        <f t="shared" si="34"/>
        <v/>
      </c>
      <c r="R242" s="57"/>
      <c r="S242" s="58" t="str">
        <f t="shared" si="30"/>
        <v/>
      </c>
      <c r="T242" s="58" t="str">
        <f t="shared" si="31"/>
        <v/>
      </c>
      <c r="U242" s="61" t="str">
        <f t="shared" si="35"/>
        <v/>
      </c>
      <c r="V242" s="58" t="str">
        <f t="shared" si="32"/>
        <v/>
      </c>
      <c r="W242" s="57"/>
    </row>
    <row r="243" spans="1:23" s="59" customFormat="1" x14ac:dyDescent="0.25">
      <c r="A243" s="53"/>
      <c r="B243" s="54" t="str">
        <f>IF($B242="","",IF($B242+1&gt;dropdown!$D$12,"",Schema!B242+1))</f>
        <v/>
      </c>
      <c r="C243" s="55" t="str">
        <f>IF($B242="","",IF($B242+1&gt;dropdown!$D$12,"",EOMONTH(C242,0)+1))</f>
        <v/>
      </c>
      <c r="D243" s="53"/>
      <c r="E243" s="55" t="str">
        <f>IF($B242="","",IF($B242+1&gt;dropdown!$D$12,"",F242+1))</f>
        <v/>
      </c>
      <c r="F243" s="55" t="str">
        <f>IF($B242="","",IF($B242+1&gt;dropdown!$D$12,"",EOMONTH(E243,0)))</f>
        <v/>
      </c>
      <c r="G243" s="56" t="str">
        <f>IF($B242="","",IF($B242+1&gt;dropdown!$D$12,"",(_xlfn.DAYS(F243,E243)+1)/DAY(F243)))</f>
        <v/>
      </c>
      <c r="H243" s="57"/>
      <c r="I243" s="58" t="str">
        <f>IF($B242="","",IF($B242+1&gt;dropdown!$D$12,"",I242-J242))</f>
        <v/>
      </c>
      <c r="J243" s="58" t="str">
        <f>IF($B242="","",IF($B242+1&gt;dropdown!$D$12,"",IF(B242&lt;dropdown!$D$13,0,IF(Aflossingsmethode="Lineair",Aflossingsbedrag,IF(Aflossingsmethode="Annuïteit",IFERROR(Bedrag_annuïteit-K243,0),0)))))</f>
        <v/>
      </c>
      <c r="K243" s="58" t="str">
        <f>IF($B242="","",IF($B242+1&gt;dropdown!$D$12,"",G243*I243*Rentekosten))</f>
        <v/>
      </c>
      <c r="L243" s="58" t="str">
        <f t="shared" si="33"/>
        <v/>
      </c>
      <c r="M243" s="58" t="str">
        <f t="shared" si="27"/>
        <v/>
      </c>
      <c r="N243" s="57"/>
      <c r="O243" s="60" t="str">
        <f t="shared" si="28"/>
        <v/>
      </c>
      <c r="P243" s="60" t="str">
        <f t="shared" si="29"/>
        <v/>
      </c>
      <c r="Q243" s="60" t="str">
        <f t="shared" si="34"/>
        <v/>
      </c>
      <c r="R243" s="57"/>
      <c r="S243" s="58" t="str">
        <f t="shared" si="30"/>
        <v/>
      </c>
      <c r="T243" s="58" t="str">
        <f t="shared" si="31"/>
        <v/>
      </c>
      <c r="U243" s="61" t="str">
        <f t="shared" si="35"/>
        <v/>
      </c>
      <c r="V243" s="58" t="str">
        <f t="shared" si="32"/>
        <v/>
      </c>
      <c r="W243" s="57"/>
    </row>
    <row r="244" spans="1:23" s="59" customFormat="1" x14ac:dyDescent="0.25">
      <c r="A244" s="53"/>
      <c r="B244" s="54" t="str">
        <f>IF($B243="","",IF($B243+1&gt;dropdown!$D$12,"",Schema!B243+1))</f>
        <v/>
      </c>
      <c r="C244" s="55" t="str">
        <f>IF($B243="","",IF($B243+1&gt;dropdown!$D$12,"",EOMONTH(C243,0)+1))</f>
        <v/>
      </c>
      <c r="D244" s="53"/>
      <c r="E244" s="55" t="str">
        <f>IF($B243="","",IF($B243+1&gt;dropdown!$D$12,"",F243+1))</f>
        <v/>
      </c>
      <c r="F244" s="55" t="str">
        <f>IF($B243="","",IF($B243+1&gt;dropdown!$D$12,"",EOMONTH(E244,0)))</f>
        <v/>
      </c>
      <c r="G244" s="56" t="str">
        <f>IF($B243="","",IF($B243+1&gt;dropdown!$D$12,"",(_xlfn.DAYS(F244,E244)+1)/DAY(F244)))</f>
        <v/>
      </c>
      <c r="H244" s="57"/>
      <c r="I244" s="58" t="str">
        <f>IF($B243="","",IF($B243+1&gt;dropdown!$D$12,"",I243-J243))</f>
        <v/>
      </c>
      <c r="J244" s="58" t="str">
        <f>IF($B243="","",IF($B243+1&gt;dropdown!$D$12,"",IF(B243&lt;dropdown!$D$13,0,IF(Aflossingsmethode="Lineair",Aflossingsbedrag,IF(Aflossingsmethode="Annuïteit",IFERROR(Bedrag_annuïteit-K244,0),0)))))</f>
        <v/>
      </c>
      <c r="K244" s="58" t="str">
        <f>IF($B243="","",IF($B243+1&gt;dropdown!$D$12,"",G244*I244*Rentekosten))</f>
        <v/>
      </c>
      <c r="L244" s="58" t="str">
        <f t="shared" si="33"/>
        <v/>
      </c>
      <c r="M244" s="58" t="str">
        <f t="shared" si="27"/>
        <v/>
      </c>
      <c r="N244" s="57"/>
      <c r="O244" s="60" t="str">
        <f t="shared" si="28"/>
        <v/>
      </c>
      <c r="P244" s="60" t="str">
        <f t="shared" si="29"/>
        <v/>
      </c>
      <c r="Q244" s="60" t="str">
        <f t="shared" si="34"/>
        <v/>
      </c>
      <c r="R244" s="57"/>
      <c r="S244" s="58" t="str">
        <f t="shared" si="30"/>
        <v/>
      </c>
      <c r="T244" s="58" t="str">
        <f t="shared" si="31"/>
        <v/>
      </c>
      <c r="U244" s="61" t="str">
        <f t="shared" si="35"/>
        <v/>
      </c>
      <c r="V244" s="58" t="str">
        <f t="shared" si="32"/>
        <v/>
      </c>
      <c r="W244" s="57"/>
    </row>
    <row r="245" spans="1:23" s="59" customFormat="1" x14ac:dyDescent="0.25">
      <c r="A245" s="53"/>
      <c r="B245" s="54" t="str">
        <f>IF($B244="","",IF($B244+1&gt;dropdown!$D$12,"",Schema!B244+1))</f>
        <v/>
      </c>
      <c r="C245" s="55" t="str">
        <f>IF($B244="","",IF($B244+1&gt;dropdown!$D$12,"",EOMONTH(C244,0)+1))</f>
        <v/>
      </c>
      <c r="D245" s="53"/>
      <c r="E245" s="55" t="str">
        <f>IF($B244="","",IF($B244+1&gt;dropdown!$D$12,"",F244+1))</f>
        <v/>
      </c>
      <c r="F245" s="55" t="str">
        <f>IF($B244="","",IF($B244+1&gt;dropdown!$D$12,"",EOMONTH(E245,0)))</f>
        <v/>
      </c>
      <c r="G245" s="56" t="str">
        <f>IF($B244="","",IF($B244+1&gt;dropdown!$D$12,"",(_xlfn.DAYS(F245,E245)+1)/DAY(F245)))</f>
        <v/>
      </c>
      <c r="H245" s="57"/>
      <c r="I245" s="58" t="str">
        <f>IF($B244="","",IF($B244+1&gt;dropdown!$D$12,"",I244-J244))</f>
        <v/>
      </c>
      <c r="J245" s="58" t="str">
        <f>IF($B244="","",IF($B244+1&gt;dropdown!$D$12,"",IF(B244&lt;dropdown!$D$13,0,IF(Aflossingsmethode="Lineair",Aflossingsbedrag,IF(Aflossingsmethode="Annuïteit",IFERROR(Bedrag_annuïteit-K245,0),0)))))</f>
        <v/>
      </c>
      <c r="K245" s="58" t="str">
        <f>IF($B244="","",IF($B244+1&gt;dropdown!$D$12,"",G245*I245*Rentekosten))</f>
        <v/>
      </c>
      <c r="L245" s="58" t="str">
        <f t="shared" si="33"/>
        <v/>
      </c>
      <c r="M245" s="58" t="str">
        <f t="shared" si="27"/>
        <v/>
      </c>
      <c r="N245" s="57"/>
      <c r="O245" s="60" t="str">
        <f t="shared" si="28"/>
        <v/>
      </c>
      <c r="P245" s="60" t="str">
        <f t="shared" si="29"/>
        <v/>
      </c>
      <c r="Q245" s="60" t="str">
        <f t="shared" si="34"/>
        <v/>
      </c>
      <c r="R245" s="57"/>
      <c r="S245" s="58" t="str">
        <f t="shared" si="30"/>
        <v/>
      </c>
      <c r="T245" s="58" t="str">
        <f t="shared" si="31"/>
        <v/>
      </c>
      <c r="U245" s="61" t="str">
        <f t="shared" si="35"/>
        <v/>
      </c>
      <c r="V245" s="58" t="str">
        <f t="shared" si="32"/>
        <v/>
      </c>
      <c r="W245" s="57"/>
    </row>
    <row r="246" spans="1:23" s="59" customFormat="1" x14ac:dyDescent="0.25">
      <c r="A246" s="53"/>
      <c r="B246" s="54" t="str">
        <f>IF($B245="","",IF($B245+1&gt;dropdown!$D$12,"",Schema!B245+1))</f>
        <v/>
      </c>
      <c r="C246" s="55" t="str">
        <f>IF($B245="","",IF($B245+1&gt;dropdown!$D$12,"",EOMONTH(C245,0)+1))</f>
        <v/>
      </c>
      <c r="D246" s="53"/>
      <c r="E246" s="55" t="str">
        <f>IF($B245="","",IF($B245+1&gt;dropdown!$D$12,"",F245+1))</f>
        <v/>
      </c>
      <c r="F246" s="55" t="str">
        <f>IF($B245="","",IF($B245+1&gt;dropdown!$D$12,"",EOMONTH(E246,0)))</f>
        <v/>
      </c>
      <c r="G246" s="56" t="str">
        <f>IF($B245="","",IF($B245+1&gt;dropdown!$D$12,"",(_xlfn.DAYS(F246,E246)+1)/DAY(F246)))</f>
        <v/>
      </c>
      <c r="H246" s="57"/>
      <c r="I246" s="58" t="str">
        <f>IF($B245="","",IF($B245+1&gt;dropdown!$D$12,"",I245-J245))</f>
        <v/>
      </c>
      <c r="J246" s="58" t="str">
        <f>IF($B245="","",IF($B245+1&gt;dropdown!$D$12,"",IF(B245&lt;dropdown!$D$13,0,IF(Aflossingsmethode="Lineair",Aflossingsbedrag,IF(Aflossingsmethode="Annuïteit",IFERROR(Bedrag_annuïteit-K246,0),0)))))</f>
        <v/>
      </c>
      <c r="K246" s="58" t="str">
        <f>IF($B245="","",IF($B245+1&gt;dropdown!$D$12,"",G246*I246*Rentekosten))</f>
        <v/>
      </c>
      <c r="L246" s="58" t="str">
        <f t="shared" si="33"/>
        <v/>
      </c>
      <c r="M246" s="58" t="str">
        <f t="shared" si="27"/>
        <v/>
      </c>
      <c r="N246" s="57"/>
      <c r="O246" s="60" t="str">
        <f t="shared" si="28"/>
        <v/>
      </c>
      <c r="P246" s="60" t="str">
        <f t="shared" si="29"/>
        <v/>
      </c>
      <c r="Q246" s="60" t="str">
        <f t="shared" si="34"/>
        <v/>
      </c>
      <c r="R246" s="57"/>
      <c r="S246" s="58" t="str">
        <f t="shared" si="30"/>
        <v/>
      </c>
      <c r="T246" s="58" t="str">
        <f t="shared" si="31"/>
        <v/>
      </c>
      <c r="U246" s="61" t="str">
        <f t="shared" si="35"/>
        <v/>
      </c>
      <c r="V246" s="58" t="str">
        <f t="shared" si="32"/>
        <v/>
      </c>
      <c r="W246" s="57"/>
    </row>
    <row r="247" spans="1:23" s="59" customFormat="1" x14ac:dyDescent="0.25">
      <c r="A247" s="53"/>
      <c r="B247" s="54" t="str">
        <f>IF($B246="","",IF($B246+1&gt;dropdown!$D$12,"",Schema!B246+1))</f>
        <v/>
      </c>
      <c r="C247" s="55" t="str">
        <f>IF($B246="","",IF($B246+1&gt;dropdown!$D$12,"",EOMONTH(C246,0)+1))</f>
        <v/>
      </c>
      <c r="D247" s="53"/>
      <c r="E247" s="55" t="str">
        <f>IF($B246="","",IF($B246+1&gt;dropdown!$D$12,"",F246+1))</f>
        <v/>
      </c>
      <c r="F247" s="55" t="str">
        <f>IF($B246="","",IF($B246+1&gt;dropdown!$D$12,"",EOMONTH(E247,0)))</f>
        <v/>
      </c>
      <c r="G247" s="56" t="str">
        <f>IF($B246="","",IF($B246+1&gt;dropdown!$D$12,"",(_xlfn.DAYS(F247,E247)+1)/DAY(F247)))</f>
        <v/>
      </c>
      <c r="H247" s="57"/>
      <c r="I247" s="58" t="str">
        <f>IF($B246="","",IF($B246+1&gt;dropdown!$D$12,"",I246-J246))</f>
        <v/>
      </c>
      <c r="J247" s="58" t="str">
        <f>IF($B246="","",IF($B246+1&gt;dropdown!$D$12,"",IF(B246&lt;dropdown!$D$13,0,IF(Aflossingsmethode="Lineair",Aflossingsbedrag,IF(Aflossingsmethode="Annuïteit",IFERROR(Bedrag_annuïteit-K247,0),0)))))</f>
        <v/>
      </c>
      <c r="K247" s="58" t="str">
        <f>IF($B246="","",IF($B246+1&gt;dropdown!$D$12,"",G247*I247*Rentekosten))</f>
        <v/>
      </c>
      <c r="L247" s="58" t="str">
        <f t="shared" si="33"/>
        <v/>
      </c>
      <c r="M247" s="58" t="str">
        <f t="shared" si="27"/>
        <v/>
      </c>
      <c r="N247" s="57"/>
      <c r="O247" s="60" t="str">
        <f t="shared" si="28"/>
        <v/>
      </c>
      <c r="P247" s="60" t="str">
        <f t="shared" si="29"/>
        <v/>
      </c>
      <c r="Q247" s="60" t="str">
        <f t="shared" si="34"/>
        <v/>
      </c>
      <c r="R247" s="57"/>
      <c r="S247" s="58" t="str">
        <f t="shared" si="30"/>
        <v/>
      </c>
      <c r="T247" s="58" t="str">
        <f t="shared" si="31"/>
        <v/>
      </c>
      <c r="U247" s="61" t="str">
        <f t="shared" si="35"/>
        <v/>
      </c>
      <c r="V247" s="58" t="str">
        <f t="shared" si="32"/>
        <v/>
      </c>
      <c r="W247" s="57"/>
    </row>
    <row r="248" spans="1:23" s="59" customFormat="1" x14ac:dyDescent="0.25">
      <c r="A248" s="53"/>
      <c r="B248" s="54" t="str">
        <f>IF($B247="","",IF($B247+1&gt;dropdown!$D$12,"",Schema!B247+1))</f>
        <v/>
      </c>
      <c r="C248" s="55" t="str">
        <f>IF($B247="","",IF($B247+1&gt;dropdown!$D$12,"",EOMONTH(C247,0)+1))</f>
        <v/>
      </c>
      <c r="D248" s="53"/>
      <c r="E248" s="55" t="str">
        <f>IF($B247="","",IF($B247+1&gt;dropdown!$D$12,"",F247+1))</f>
        <v/>
      </c>
      <c r="F248" s="55" t="str">
        <f>IF($B247="","",IF($B247+1&gt;dropdown!$D$12,"",EOMONTH(E248,0)))</f>
        <v/>
      </c>
      <c r="G248" s="56" t="str">
        <f>IF($B247="","",IF($B247+1&gt;dropdown!$D$12,"",(_xlfn.DAYS(F248,E248)+1)/DAY(F248)))</f>
        <v/>
      </c>
      <c r="H248" s="57"/>
      <c r="I248" s="58" t="str">
        <f>IF($B247="","",IF($B247+1&gt;dropdown!$D$12,"",I247-J247))</f>
        <v/>
      </c>
      <c r="J248" s="58" t="str">
        <f>IF($B247="","",IF($B247+1&gt;dropdown!$D$12,"",IF(B247&lt;dropdown!$D$13,0,IF(Aflossingsmethode="Lineair",Aflossingsbedrag,IF(Aflossingsmethode="Annuïteit",IFERROR(Bedrag_annuïteit-K248,0),0)))))</f>
        <v/>
      </c>
      <c r="K248" s="58" t="str">
        <f>IF($B247="","",IF($B247+1&gt;dropdown!$D$12,"",G248*I248*Rentekosten))</f>
        <v/>
      </c>
      <c r="L248" s="58" t="str">
        <f t="shared" si="33"/>
        <v/>
      </c>
      <c r="M248" s="58" t="str">
        <f t="shared" si="27"/>
        <v/>
      </c>
      <c r="N248" s="57"/>
      <c r="O248" s="60" t="str">
        <f t="shared" si="28"/>
        <v/>
      </c>
      <c r="P248" s="60" t="str">
        <f t="shared" si="29"/>
        <v/>
      </c>
      <c r="Q248" s="60" t="str">
        <f t="shared" si="34"/>
        <v/>
      </c>
      <c r="R248" s="57"/>
      <c r="S248" s="58" t="str">
        <f t="shared" si="30"/>
        <v/>
      </c>
      <c r="T248" s="58" t="str">
        <f t="shared" si="31"/>
        <v/>
      </c>
      <c r="U248" s="61" t="str">
        <f t="shared" si="35"/>
        <v/>
      </c>
      <c r="V248" s="58" t="str">
        <f t="shared" si="32"/>
        <v/>
      </c>
      <c r="W248" s="57"/>
    </row>
    <row r="249" spans="1:23" s="59" customFormat="1" x14ac:dyDescent="0.25">
      <c r="A249" s="53"/>
      <c r="B249" s="54" t="str">
        <f>IF($B248="","",IF($B248+1&gt;dropdown!$D$12,"",Schema!B248+1))</f>
        <v/>
      </c>
      <c r="C249" s="55" t="str">
        <f>IF($B248="","",IF($B248+1&gt;dropdown!$D$12,"",EOMONTH(C248,0)+1))</f>
        <v/>
      </c>
      <c r="D249" s="53"/>
      <c r="E249" s="55" t="str">
        <f>IF($B248="","",IF($B248+1&gt;dropdown!$D$12,"",F248+1))</f>
        <v/>
      </c>
      <c r="F249" s="55" t="str">
        <f>IF($B248="","",IF($B248+1&gt;dropdown!$D$12,"",EOMONTH(E249,0)))</f>
        <v/>
      </c>
      <c r="G249" s="56" t="str">
        <f>IF($B248="","",IF($B248+1&gt;dropdown!$D$12,"",(_xlfn.DAYS(F249,E249)+1)/DAY(F249)))</f>
        <v/>
      </c>
      <c r="H249" s="57"/>
      <c r="I249" s="58" t="str">
        <f>IF($B248="","",IF($B248+1&gt;dropdown!$D$12,"",I248-J248))</f>
        <v/>
      </c>
      <c r="J249" s="58" t="str">
        <f>IF($B248="","",IF($B248+1&gt;dropdown!$D$12,"",IF(B248&lt;dropdown!$D$13,0,IF(Aflossingsmethode="Lineair",Aflossingsbedrag,IF(Aflossingsmethode="Annuïteit",IFERROR(Bedrag_annuïteit-K249,0),0)))))</f>
        <v/>
      </c>
      <c r="K249" s="58" t="str">
        <f>IF($B248="","",IF($B248+1&gt;dropdown!$D$12,"",G249*I249*Rentekosten))</f>
        <v/>
      </c>
      <c r="L249" s="58" t="str">
        <f t="shared" si="33"/>
        <v/>
      </c>
      <c r="M249" s="58" t="str">
        <f t="shared" si="27"/>
        <v/>
      </c>
      <c r="N249" s="57"/>
      <c r="O249" s="60" t="str">
        <f t="shared" si="28"/>
        <v/>
      </c>
      <c r="P249" s="60" t="str">
        <f t="shared" si="29"/>
        <v/>
      </c>
      <c r="Q249" s="60" t="str">
        <f t="shared" si="34"/>
        <v/>
      </c>
      <c r="R249" s="57"/>
      <c r="S249" s="58" t="str">
        <f t="shared" si="30"/>
        <v/>
      </c>
      <c r="T249" s="58" t="str">
        <f t="shared" si="31"/>
        <v/>
      </c>
      <c r="U249" s="61" t="str">
        <f t="shared" si="35"/>
        <v/>
      </c>
      <c r="V249" s="58" t="str">
        <f t="shared" si="32"/>
        <v/>
      </c>
      <c r="W249" s="57"/>
    </row>
    <row r="250" spans="1:23" s="59" customFormat="1" x14ac:dyDescent="0.25">
      <c r="A250" s="53"/>
      <c r="B250" s="54" t="str">
        <f>IF($B249="","",IF($B249+1&gt;dropdown!$D$12,"",Schema!B249+1))</f>
        <v/>
      </c>
      <c r="C250" s="55" t="str">
        <f>IF($B249="","",IF($B249+1&gt;dropdown!$D$12,"",EOMONTH(C249,0)+1))</f>
        <v/>
      </c>
      <c r="D250" s="53"/>
      <c r="E250" s="55" t="str">
        <f>IF($B249="","",IF($B249+1&gt;dropdown!$D$12,"",F249+1))</f>
        <v/>
      </c>
      <c r="F250" s="55" t="str">
        <f>IF($B249="","",IF($B249+1&gt;dropdown!$D$12,"",EOMONTH(E250,0)))</f>
        <v/>
      </c>
      <c r="G250" s="56" t="str">
        <f>IF($B249="","",IF($B249+1&gt;dropdown!$D$12,"",(_xlfn.DAYS(F250,E250)+1)/DAY(F250)))</f>
        <v/>
      </c>
      <c r="H250" s="57"/>
      <c r="I250" s="58" t="str">
        <f>IF($B249="","",IF($B249+1&gt;dropdown!$D$12,"",I249-J249))</f>
        <v/>
      </c>
      <c r="J250" s="58" t="str">
        <f>IF($B249="","",IF($B249+1&gt;dropdown!$D$12,"",IF(B249&lt;dropdown!$D$13,0,IF(Aflossingsmethode="Lineair",Aflossingsbedrag,IF(Aflossingsmethode="Annuïteit",IFERROR(Bedrag_annuïteit-K250,0),0)))))</f>
        <v/>
      </c>
      <c r="K250" s="58" t="str">
        <f>IF($B249="","",IF($B249+1&gt;dropdown!$D$12,"",G250*I250*Rentekosten))</f>
        <v/>
      </c>
      <c r="L250" s="58" t="str">
        <f t="shared" si="33"/>
        <v/>
      </c>
      <c r="M250" s="58" t="str">
        <f t="shared" si="27"/>
        <v/>
      </c>
      <c r="N250" s="57"/>
      <c r="O250" s="60" t="str">
        <f t="shared" si="28"/>
        <v/>
      </c>
      <c r="P250" s="60" t="str">
        <f t="shared" si="29"/>
        <v/>
      </c>
      <c r="Q250" s="60" t="str">
        <f t="shared" si="34"/>
        <v/>
      </c>
      <c r="R250" s="57"/>
      <c r="S250" s="58" t="str">
        <f t="shared" si="30"/>
        <v/>
      </c>
      <c r="T250" s="58" t="str">
        <f t="shared" si="31"/>
        <v/>
      </c>
      <c r="U250" s="61" t="str">
        <f t="shared" si="35"/>
        <v/>
      </c>
      <c r="V250" s="58" t="str">
        <f t="shared" si="32"/>
        <v/>
      </c>
      <c r="W250" s="57"/>
    </row>
    <row r="251" spans="1:23" s="59" customFormat="1" x14ac:dyDescent="0.25">
      <c r="A251" s="53"/>
      <c r="B251" s="54" t="str">
        <f>IF($B250="","",IF($B250+1&gt;dropdown!$D$12,"",Schema!B250+1))</f>
        <v/>
      </c>
      <c r="C251" s="55" t="str">
        <f>IF($B250="","",IF($B250+1&gt;dropdown!$D$12,"",EOMONTH(C250,0)+1))</f>
        <v/>
      </c>
      <c r="D251" s="53"/>
      <c r="E251" s="55" t="str">
        <f>IF($B250="","",IF($B250+1&gt;dropdown!$D$12,"",F250+1))</f>
        <v/>
      </c>
      <c r="F251" s="55" t="str">
        <f>IF($B250="","",IF($B250+1&gt;dropdown!$D$12,"",EOMONTH(E251,0)))</f>
        <v/>
      </c>
      <c r="G251" s="56" t="str">
        <f>IF($B250="","",IF($B250+1&gt;dropdown!$D$12,"",(_xlfn.DAYS(F251,E251)+1)/DAY(F251)))</f>
        <v/>
      </c>
      <c r="H251" s="57"/>
      <c r="I251" s="58" t="str">
        <f>IF($B250="","",IF($B250+1&gt;dropdown!$D$12,"",I250-J250))</f>
        <v/>
      </c>
      <c r="J251" s="58" t="str">
        <f>IF($B250="","",IF($B250+1&gt;dropdown!$D$12,"",IF(B250&lt;dropdown!$D$13,0,IF(Aflossingsmethode="Lineair",Aflossingsbedrag,IF(Aflossingsmethode="Annuïteit",IFERROR(Bedrag_annuïteit-K251,0),0)))))</f>
        <v/>
      </c>
      <c r="K251" s="58" t="str">
        <f>IF($B250="","",IF($B250+1&gt;dropdown!$D$12,"",G251*I251*Rentekosten))</f>
        <v/>
      </c>
      <c r="L251" s="58" t="str">
        <f t="shared" si="33"/>
        <v/>
      </c>
      <c r="M251" s="58" t="str">
        <f t="shared" si="27"/>
        <v/>
      </c>
      <c r="N251" s="57"/>
      <c r="O251" s="60" t="str">
        <f t="shared" si="28"/>
        <v/>
      </c>
      <c r="P251" s="60" t="str">
        <f t="shared" si="29"/>
        <v/>
      </c>
      <c r="Q251" s="60" t="str">
        <f t="shared" si="34"/>
        <v/>
      </c>
      <c r="R251" s="57"/>
      <c r="S251" s="58" t="str">
        <f t="shared" si="30"/>
        <v/>
      </c>
      <c r="T251" s="58" t="str">
        <f t="shared" si="31"/>
        <v/>
      </c>
      <c r="U251" s="61" t="str">
        <f t="shared" si="35"/>
        <v/>
      </c>
      <c r="V251" s="58" t="str">
        <f t="shared" si="32"/>
        <v/>
      </c>
      <c r="W251" s="57"/>
    </row>
    <row r="252" spans="1:23" s="59" customFormat="1" x14ac:dyDescent="0.25">
      <c r="A252" s="53"/>
      <c r="B252" s="54" t="str">
        <f>IF($B251="","",IF($B251+1&gt;dropdown!$D$12,"",Schema!B251+1))</f>
        <v/>
      </c>
      <c r="C252" s="55" t="str">
        <f>IF($B251="","",IF($B251+1&gt;dropdown!$D$12,"",EOMONTH(C251,0)+1))</f>
        <v/>
      </c>
      <c r="D252" s="53"/>
      <c r="E252" s="55" t="str">
        <f>IF($B251="","",IF($B251+1&gt;dropdown!$D$12,"",F251+1))</f>
        <v/>
      </c>
      <c r="F252" s="55" t="str">
        <f>IF($B251="","",IF($B251+1&gt;dropdown!$D$12,"",EOMONTH(E252,0)))</f>
        <v/>
      </c>
      <c r="G252" s="56" t="str">
        <f>IF($B251="","",IF($B251+1&gt;dropdown!$D$12,"",(_xlfn.DAYS(F252,E252)+1)/DAY(F252)))</f>
        <v/>
      </c>
      <c r="H252" s="57"/>
      <c r="I252" s="58" t="str">
        <f>IF($B251="","",IF($B251+1&gt;dropdown!$D$12,"",I251-J251))</f>
        <v/>
      </c>
      <c r="J252" s="58" t="str">
        <f>IF($B251="","",IF($B251+1&gt;dropdown!$D$12,"",IF(B251&lt;dropdown!$D$13,0,IF(Aflossingsmethode="Lineair",Aflossingsbedrag,IF(Aflossingsmethode="Annuïteit",IFERROR(Bedrag_annuïteit-K252,0),0)))))</f>
        <v/>
      </c>
      <c r="K252" s="58" t="str">
        <f>IF($B251="","",IF($B251+1&gt;dropdown!$D$12,"",G252*I252*Rentekosten))</f>
        <v/>
      </c>
      <c r="L252" s="58" t="str">
        <f t="shared" si="33"/>
        <v/>
      </c>
      <c r="M252" s="58" t="str">
        <f t="shared" si="27"/>
        <v/>
      </c>
      <c r="N252" s="57"/>
      <c r="O252" s="60" t="str">
        <f t="shared" si="28"/>
        <v/>
      </c>
      <c r="P252" s="60" t="str">
        <f t="shared" si="29"/>
        <v/>
      </c>
      <c r="Q252" s="60" t="str">
        <f t="shared" si="34"/>
        <v/>
      </c>
      <c r="R252" s="57"/>
      <c r="S252" s="58" t="str">
        <f t="shared" si="30"/>
        <v/>
      </c>
      <c r="T252" s="58" t="str">
        <f t="shared" si="31"/>
        <v/>
      </c>
      <c r="U252" s="61" t="str">
        <f t="shared" si="35"/>
        <v/>
      </c>
      <c r="V252" s="58" t="str">
        <f t="shared" si="32"/>
        <v/>
      </c>
      <c r="W252" s="57"/>
    </row>
    <row r="253" spans="1:23" s="59" customFormat="1" x14ac:dyDescent="0.25">
      <c r="A253" s="53"/>
      <c r="B253" s="54" t="str">
        <f>IF($B252="","",IF($B252+1&gt;dropdown!$D$12,"",Schema!B252+1))</f>
        <v/>
      </c>
      <c r="C253" s="55" t="str">
        <f>IF($B252="","",IF($B252+1&gt;dropdown!$D$12,"",EOMONTH(C252,0)+1))</f>
        <v/>
      </c>
      <c r="D253" s="53"/>
      <c r="E253" s="55" t="str">
        <f>IF($B252="","",IF($B252+1&gt;dropdown!$D$12,"",F252+1))</f>
        <v/>
      </c>
      <c r="F253" s="55" t="str">
        <f>IF($B252="","",IF($B252+1&gt;dropdown!$D$12,"",EOMONTH(E253,0)))</f>
        <v/>
      </c>
      <c r="G253" s="56" t="str">
        <f>IF($B252="","",IF($B252+1&gt;dropdown!$D$12,"",(_xlfn.DAYS(F253,E253)+1)/DAY(F253)))</f>
        <v/>
      </c>
      <c r="H253" s="57"/>
      <c r="I253" s="58" t="str">
        <f>IF($B252="","",IF($B252+1&gt;dropdown!$D$12,"",I252-J252))</f>
        <v/>
      </c>
      <c r="J253" s="58" t="str">
        <f>IF($B252="","",IF($B252+1&gt;dropdown!$D$12,"",IF(B252&lt;dropdown!$D$13,0,IF(Aflossingsmethode="Lineair",Aflossingsbedrag,IF(Aflossingsmethode="Annuïteit",IFERROR(Bedrag_annuïteit-K253,0),0)))))</f>
        <v/>
      </c>
      <c r="K253" s="58" t="str">
        <f>IF($B252="","",IF($B252+1&gt;dropdown!$D$12,"",G253*I253*Rentekosten))</f>
        <v/>
      </c>
      <c r="L253" s="58" t="str">
        <f t="shared" si="33"/>
        <v/>
      </c>
      <c r="M253" s="58" t="str">
        <f t="shared" si="27"/>
        <v/>
      </c>
      <c r="N253" s="57"/>
      <c r="O253" s="60" t="str">
        <f t="shared" si="28"/>
        <v/>
      </c>
      <c r="P253" s="60" t="str">
        <f t="shared" si="29"/>
        <v/>
      </c>
      <c r="Q253" s="60" t="str">
        <f t="shared" si="34"/>
        <v/>
      </c>
      <c r="R253" s="57"/>
      <c r="S253" s="58" t="str">
        <f t="shared" si="30"/>
        <v/>
      </c>
      <c r="T253" s="58" t="str">
        <f t="shared" si="31"/>
        <v/>
      </c>
      <c r="U253" s="61" t="str">
        <f t="shared" si="35"/>
        <v/>
      </c>
      <c r="V253" s="58" t="str">
        <f t="shared" si="32"/>
        <v/>
      </c>
      <c r="W253" s="57"/>
    </row>
    <row r="254" spans="1:23" s="59" customFormat="1" x14ac:dyDescent="0.25">
      <c r="A254" s="53"/>
      <c r="B254" s="54" t="str">
        <f>IF($B253="","",IF($B253+1&gt;dropdown!$D$12,"",Schema!B253+1))</f>
        <v/>
      </c>
      <c r="C254" s="55" t="str">
        <f>IF($B253="","",IF($B253+1&gt;dropdown!$D$12,"",EOMONTH(C253,0)+1))</f>
        <v/>
      </c>
      <c r="D254" s="53"/>
      <c r="E254" s="55" t="str">
        <f>IF($B253="","",IF($B253+1&gt;dropdown!$D$12,"",F253+1))</f>
        <v/>
      </c>
      <c r="F254" s="55" t="str">
        <f>IF($B253="","",IF($B253+1&gt;dropdown!$D$12,"",EOMONTH(E254,0)))</f>
        <v/>
      </c>
      <c r="G254" s="56" t="str">
        <f>IF($B253="","",IF($B253+1&gt;dropdown!$D$12,"",(_xlfn.DAYS(F254,E254)+1)/DAY(F254)))</f>
        <v/>
      </c>
      <c r="H254" s="57"/>
      <c r="I254" s="58" t="str">
        <f>IF($B253="","",IF($B253+1&gt;dropdown!$D$12,"",I253-J253))</f>
        <v/>
      </c>
      <c r="J254" s="58" t="str">
        <f>IF($B253="","",IF($B253+1&gt;dropdown!$D$12,"",IF(B253&lt;dropdown!$D$13,0,IF(Aflossingsmethode="Lineair",Aflossingsbedrag,IF(Aflossingsmethode="Annuïteit",IFERROR(Bedrag_annuïteit-K254,0),0)))))</f>
        <v/>
      </c>
      <c r="K254" s="58" t="str">
        <f>IF($B253="","",IF($B253+1&gt;dropdown!$D$12,"",G254*I254*Rentekosten))</f>
        <v/>
      </c>
      <c r="L254" s="58" t="str">
        <f t="shared" si="33"/>
        <v/>
      </c>
      <c r="M254" s="58" t="str">
        <f t="shared" si="27"/>
        <v/>
      </c>
      <c r="N254" s="57"/>
      <c r="O254" s="60" t="str">
        <f t="shared" si="28"/>
        <v/>
      </c>
      <c r="P254" s="60" t="str">
        <f t="shared" si="29"/>
        <v/>
      </c>
      <c r="Q254" s="60" t="str">
        <f t="shared" si="34"/>
        <v/>
      </c>
      <c r="R254" s="57"/>
      <c r="S254" s="58" t="str">
        <f t="shared" si="30"/>
        <v/>
      </c>
      <c r="T254" s="58" t="str">
        <f t="shared" si="31"/>
        <v/>
      </c>
      <c r="U254" s="61" t="str">
        <f t="shared" si="35"/>
        <v/>
      </c>
      <c r="V254" s="58" t="str">
        <f t="shared" si="32"/>
        <v/>
      </c>
      <c r="W254" s="57"/>
    </row>
    <row r="255" spans="1:23" s="59" customFormat="1" x14ac:dyDescent="0.25">
      <c r="A255" s="53"/>
      <c r="B255" s="54" t="str">
        <f>IF($B254="","",IF($B254+1&gt;dropdown!$D$12,"",Schema!B254+1))</f>
        <v/>
      </c>
      <c r="C255" s="55" t="str">
        <f>IF($B254="","",IF($B254+1&gt;dropdown!$D$12,"",EOMONTH(C254,0)+1))</f>
        <v/>
      </c>
      <c r="D255" s="53"/>
      <c r="E255" s="55" t="str">
        <f>IF($B254="","",IF($B254+1&gt;dropdown!$D$12,"",F254+1))</f>
        <v/>
      </c>
      <c r="F255" s="55" t="str">
        <f>IF($B254="","",IF($B254+1&gt;dropdown!$D$12,"",EOMONTH(E255,0)))</f>
        <v/>
      </c>
      <c r="G255" s="56" t="str">
        <f>IF($B254="","",IF($B254+1&gt;dropdown!$D$12,"",(_xlfn.DAYS(F255,E255)+1)/DAY(F255)))</f>
        <v/>
      </c>
      <c r="H255" s="57"/>
      <c r="I255" s="58" t="str">
        <f>IF($B254="","",IF($B254+1&gt;dropdown!$D$12,"",I254-J254))</f>
        <v/>
      </c>
      <c r="J255" s="58" t="str">
        <f>IF($B254="","",IF($B254+1&gt;dropdown!$D$12,"",IF(B254&lt;dropdown!$D$13,0,IF(Aflossingsmethode="Lineair",Aflossingsbedrag,IF(Aflossingsmethode="Annuïteit",IFERROR(Bedrag_annuïteit-K255,0),0)))))</f>
        <v/>
      </c>
      <c r="K255" s="58" t="str">
        <f>IF($B254="","",IF($B254+1&gt;dropdown!$D$12,"",G255*I255*Rentekosten))</f>
        <v/>
      </c>
      <c r="L255" s="58" t="str">
        <f t="shared" si="33"/>
        <v/>
      </c>
      <c r="M255" s="58" t="str">
        <f t="shared" si="27"/>
        <v/>
      </c>
      <c r="N255" s="57"/>
      <c r="O255" s="60" t="str">
        <f t="shared" si="28"/>
        <v/>
      </c>
      <c r="P255" s="60" t="str">
        <f t="shared" si="29"/>
        <v/>
      </c>
      <c r="Q255" s="60" t="str">
        <f t="shared" si="34"/>
        <v/>
      </c>
      <c r="R255" s="57"/>
      <c r="S255" s="58" t="str">
        <f t="shared" si="30"/>
        <v/>
      </c>
      <c r="T255" s="58" t="str">
        <f t="shared" si="31"/>
        <v/>
      </c>
      <c r="U255" s="61" t="str">
        <f t="shared" si="35"/>
        <v/>
      </c>
      <c r="V255" s="58" t="str">
        <f t="shared" si="32"/>
        <v/>
      </c>
      <c r="W255" s="57"/>
    </row>
    <row r="256" spans="1:23" s="59" customFormat="1" x14ac:dyDescent="0.25">
      <c r="A256" s="53"/>
      <c r="B256" s="54" t="str">
        <f>IF($B255="","",IF($B255+1&gt;dropdown!$D$12,"",Schema!B255+1))</f>
        <v/>
      </c>
      <c r="C256" s="55" t="str">
        <f>IF($B255="","",IF($B255+1&gt;dropdown!$D$12,"",EOMONTH(C255,0)+1))</f>
        <v/>
      </c>
      <c r="D256" s="53"/>
      <c r="E256" s="55" t="str">
        <f>IF($B255="","",IF($B255+1&gt;dropdown!$D$12,"",F255+1))</f>
        <v/>
      </c>
      <c r="F256" s="55" t="str">
        <f>IF($B255="","",IF($B255+1&gt;dropdown!$D$12,"",EOMONTH(E256,0)))</f>
        <v/>
      </c>
      <c r="G256" s="56" t="str">
        <f>IF($B255="","",IF($B255+1&gt;dropdown!$D$12,"",(_xlfn.DAYS(F256,E256)+1)/DAY(F256)))</f>
        <v/>
      </c>
      <c r="H256" s="57"/>
      <c r="I256" s="58" t="str">
        <f>IF($B255="","",IF($B255+1&gt;dropdown!$D$12,"",I255-J255))</f>
        <v/>
      </c>
      <c r="J256" s="58" t="str">
        <f>IF($B255="","",IF($B255+1&gt;dropdown!$D$12,"",IF(B255&lt;dropdown!$D$13,0,IF(Aflossingsmethode="Lineair",Aflossingsbedrag,IF(Aflossingsmethode="Annuïteit",IFERROR(Bedrag_annuïteit-K256,0),0)))))</f>
        <v/>
      </c>
      <c r="K256" s="58" t="str">
        <f>IF($B255="","",IF($B255+1&gt;dropdown!$D$12,"",G256*I256*Rentekosten))</f>
        <v/>
      </c>
      <c r="L256" s="58" t="str">
        <f t="shared" si="33"/>
        <v/>
      </c>
      <c r="M256" s="58" t="str">
        <f t="shared" si="27"/>
        <v/>
      </c>
      <c r="N256" s="57"/>
      <c r="O256" s="60" t="str">
        <f t="shared" si="28"/>
        <v/>
      </c>
      <c r="P256" s="60" t="str">
        <f t="shared" si="29"/>
        <v/>
      </c>
      <c r="Q256" s="60" t="str">
        <f t="shared" si="34"/>
        <v/>
      </c>
      <c r="R256" s="57"/>
      <c r="S256" s="58" t="str">
        <f t="shared" si="30"/>
        <v/>
      </c>
      <c r="T256" s="58" t="str">
        <f t="shared" si="31"/>
        <v/>
      </c>
      <c r="U256" s="61" t="str">
        <f t="shared" si="35"/>
        <v/>
      </c>
      <c r="V256" s="58" t="str">
        <f t="shared" si="32"/>
        <v/>
      </c>
      <c r="W256" s="57"/>
    </row>
    <row r="257" spans="1:23" s="59" customFormat="1" x14ac:dyDescent="0.25">
      <c r="A257" s="53"/>
      <c r="B257" s="54" t="str">
        <f>IF($B256="","",IF($B256+1&gt;dropdown!$D$12,"",Schema!B256+1))</f>
        <v/>
      </c>
      <c r="C257" s="55" t="str">
        <f>IF($B256="","",IF($B256+1&gt;dropdown!$D$12,"",EOMONTH(C256,0)+1))</f>
        <v/>
      </c>
      <c r="D257" s="53"/>
      <c r="E257" s="55" t="str">
        <f>IF($B256="","",IF($B256+1&gt;dropdown!$D$12,"",F256+1))</f>
        <v/>
      </c>
      <c r="F257" s="55" t="str">
        <f>IF($B256="","",IF($B256+1&gt;dropdown!$D$12,"",EOMONTH(E257,0)))</f>
        <v/>
      </c>
      <c r="G257" s="56" t="str">
        <f>IF($B256="","",IF($B256+1&gt;dropdown!$D$12,"",(_xlfn.DAYS(F257,E257)+1)/DAY(F257)))</f>
        <v/>
      </c>
      <c r="H257" s="57"/>
      <c r="I257" s="58" t="str">
        <f>IF($B256="","",IF($B256+1&gt;dropdown!$D$12,"",I256-J256))</f>
        <v/>
      </c>
      <c r="J257" s="58" t="str">
        <f>IF($B256="","",IF($B256+1&gt;dropdown!$D$12,"",IF(B256&lt;dropdown!$D$13,0,IF(Aflossingsmethode="Lineair",Aflossingsbedrag,IF(Aflossingsmethode="Annuïteit",IFERROR(Bedrag_annuïteit-K257,0),0)))))</f>
        <v/>
      </c>
      <c r="K257" s="58" t="str">
        <f>IF($B256="","",IF($B256+1&gt;dropdown!$D$12,"",G257*I257*Rentekosten))</f>
        <v/>
      </c>
      <c r="L257" s="58" t="str">
        <f t="shared" si="33"/>
        <v/>
      </c>
      <c r="M257" s="58" t="str">
        <f t="shared" si="27"/>
        <v/>
      </c>
      <c r="N257" s="57"/>
      <c r="O257" s="60" t="str">
        <f t="shared" si="28"/>
        <v/>
      </c>
      <c r="P257" s="60" t="str">
        <f t="shared" si="29"/>
        <v/>
      </c>
      <c r="Q257" s="60" t="str">
        <f t="shared" si="34"/>
        <v/>
      </c>
      <c r="R257" s="57"/>
      <c r="S257" s="58" t="str">
        <f t="shared" si="30"/>
        <v/>
      </c>
      <c r="T257" s="58" t="str">
        <f t="shared" si="31"/>
        <v/>
      </c>
      <c r="U257" s="61" t="str">
        <f t="shared" si="35"/>
        <v/>
      </c>
      <c r="V257" s="58" t="str">
        <f t="shared" si="32"/>
        <v/>
      </c>
      <c r="W257" s="57"/>
    </row>
    <row r="258" spans="1:23" s="59" customFormat="1" x14ac:dyDescent="0.25">
      <c r="A258" s="53"/>
      <c r="B258" s="54" t="str">
        <f>IF($B257="","",IF($B257+1&gt;dropdown!$D$12,"",Schema!B257+1))</f>
        <v/>
      </c>
      <c r="C258" s="55" t="str">
        <f>IF($B257="","",IF($B257+1&gt;dropdown!$D$12,"",EOMONTH(C257,0)+1))</f>
        <v/>
      </c>
      <c r="D258" s="53"/>
      <c r="E258" s="55" t="str">
        <f>IF($B257="","",IF($B257+1&gt;dropdown!$D$12,"",F257+1))</f>
        <v/>
      </c>
      <c r="F258" s="55" t="str">
        <f>IF($B257="","",IF($B257+1&gt;dropdown!$D$12,"",EOMONTH(E258,0)))</f>
        <v/>
      </c>
      <c r="G258" s="56" t="str">
        <f>IF($B257="","",IF($B257+1&gt;dropdown!$D$12,"",(_xlfn.DAYS(F258,E258)+1)/DAY(F258)))</f>
        <v/>
      </c>
      <c r="H258" s="57"/>
      <c r="I258" s="58" t="str">
        <f>IF($B257="","",IF($B257+1&gt;dropdown!$D$12,"",I257-J257))</f>
        <v/>
      </c>
      <c r="J258" s="58" t="str">
        <f>IF($B257="","",IF($B257+1&gt;dropdown!$D$12,"",IF(B257&lt;dropdown!$D$13,0,IF(Aflossingsmethode="Lineair",Aflossingsbedrag,IF(Aflossingsmethode="Annuïteit",IFERROR(Bedrag_annuïteit-K258,0),0)))))</f>
        <v/>
      </c>
      <c r="K258" s="58" t="str">
        <f>IF($B257="","",IF($B257+1&gt;dropdown!$D$12,"",G258*I258*Rentekosten))</f>
        <v/>
      </c>
      <c r="L258" s="58" t="str">
        <f t="shared" si="33"/>
        <v/>
      </c>
      <c r="M258" s="58" t="str">
        <f t="shared" si="27"/>
        <v/>
      </c>
      <c r="N258" s="57"/>
      <c r="O258" s="60" t="str">
        <f t="shared" si="28"/>
        <v/>
      </c>
      <c r="P258" s="60" t="str">
        <f t="shared" si="29"/>
        <v/>
      </c>
      <c r="Q258" s="60" t="str">
        <f t="shared" si="34"/>
        <v/>
      </c>
      <c r="R258" s="57"/>
      <c r="S258" s="58" t="str">
        <f t="shared" si="30"/>
        <v/>
      </c>
      <c r="T258" s="58" t="str">
        <f t="shared" si="31"/>
        <v/>
      </c>
      <c r="U258" s="61" t="str">
        <f t="shared" si="35"/>
        <v/>
      </c>
      <c r="V258" s="58" t="str">
        <f t="shared" si="32"/>
        <v/>
      </c>
      <c r="W258" s="57"/>
    </row>
    <row r="259" spans="1:23" s="59" customFormat="1" x14ac:dyDescent="0.25">
      <c r="A259" s="53"/>
      <c r="B259" s="54" t="str">
        <f>IF($B258="","",IF($B258+1&gt;dropdown!$D$12,"",Schema!B258+1))</f>
        <v/>
      </c>
      <c r="C259" s="55" t="str">
        <f>IF($B258="","",IF($B258+1&gt;dropdown!$D$12,"",EOMONTH(C258,0)+1))</f>
        <v/>
      </c>
      <c r="D259" s="53"/>
      <c r="E259" s="55" t="str">
        <f>IF($B258="","",IF($B258+1&gt;dropdown!$D$12,"",F258+1))</f>
        <v/>
      </c>
      <c r="F259" s="55" t="str">
        <f>IF($B258="","",IF($B258+1&gt;dropdown!$D$12,"",EOMONTH(E259,0)))</f>
        <v/>
      </c>
      <c r="G259" s="56" t="str">
        <f>IF($B258="","",IF($B258+1&gt;dropdown!$D$12,"",(_xlfn.DAYS(F259,E259)+1)/DAY(F259)))</f>
        <v/>
      </c>
      <c r="H259" s="57"/>
      <c r="I259" s="58" t="str">
        <f>IF($B258="","",IF($B258+1&gt;dropdown!$D$12,"",I258-J258))</f>
        <v/>
      </c>
      <c r="J259" s="58" t="str">
        <f>IF($B258="","",IF($B258+1&gt;dropdown!$D$12,"",IF(B258&lt;dropdown!$D$13,0,IF(Aflossingsmethode="Lineair",Aflossingsbedrag,IF(Aflossingsmethode="Annuïteit",IFERROR(Bedrag_annuïteit-K259,0),0)))))</f>
        <v/>
      </c>
      <c r="K259" s="58" t="str">
        <f>IF($B258="","",IF($B258+1&gt;dropdown!$D$12,"",G259*I259*Rentekosten))</f>
        <v/>
      </c>
      <c r="L259" s="58" t="str">
        <f t="shared" si="33"/>
        <v/>
      </c>
      <c r="M259" s="58" t="str">
        <f t="shared" si="27"/>
        <v/>
      </c>
      <c r="N259" s="57"/>
      <c r="O259" s="60" t="str">
        <f t="shared" si="28"/>
        <v/>
      </c>
      <c r="P259" s="60" t="str">
        <f t="shared" si="29"/>
        <v/>
      </c>
      <c r="Q259" s="60" t="str">
        <f t="shared" si="34"/>
        <v/>
      </c>
      <c r="R259" s="57"/>
      <c r="S259" s="58" t="str">
        <f t="shared" si="30"/>
        <v/>
      </c>
      <c r="T259" s="58" t="str">
        <f t="shared" si="31"/>
        <v/>
      </c>
      <c r="U259" s="61" t="str">
        <f t="shared" si="35"/>
        <v/>
      </c>
      <c r="V259" s="58" t="str">
        <f t="shared" si="32"/>
        <v/>
      </c>
      <c r="W259" s="57"/>
    </row>
    <row r="260" spans="1:23" s="59" customFormat="1" x14ac:dyDescent="0.25">
      <c r="A260" s="53"/>
      <c r="B260" s="54" t="str">
        <f>IF($B259="","",IF($B259+1&gt;dropdown!$D$12,"",Schema!B259+1))</f>
        <v/>
      </c>
      <c r="C260" s="55" t="str">
        <f>IF($B259="","",IF($B259+1&gt;dropdown!$D$12,"",EOMONTH(C259,0)+1))</f>
        <v/>
      </c>
      <c r="D260" s="53"/>
      <c r="E260" s="55" t="str">
        <f>IF($B259="","",IF($B259+1&gt;dropdown!$D$12,"",F259+1))</f>
        <v/>
      </c>
      <c r="F260" s="55" t="str">
        <f>IF($B259="","",IF($B259+1&gt;dropdown!$D$12,"",EOMONTH(E260,0)))</f>
        <v/>
      </c>
      <c r="G260" s="56" t="str">
        <f>IF($B259="","",IF($B259+1&gt;dropdown!$D$12,"",(_xlfn.DAYS(F260,E260)+1)/DAY(F260)))</f>
        <v/>
      </c>
      <c r="H260" s="57"/>
      <c r="I260" s="58" t="str">
        <f>IF($B259="","",IF($B259+1&gt;dropdown!$D$12,"",I259-J259))</f>
        <v/>
      </c>
      <c r="J260" s="58" t="str">
        <f>IF($B259="","",IF($B259+1&gt;dropdown!$D$12,"",IF(B259&lt;dropdown!$D$13,0,IF(Aflossingsmethode="Lineair",Aflossingsbedrag,IF(Aflossingsmethode="Annuïteit",IFERROR(Bedrag_annuïteit-K260,0),0)))))</f>
        <v/>
      </c>
      <c r="K260" s="58" t="str">
        <f>IF($B259="","",IF($B259+1&gt;dropdown!$D$12,"",G260*I260*Rentekosten))</f>
        <v/>
      </c>
      <c r="L260" s="58" t="str">
        <f t="shared" si="33"/>
        <v/>
      </c>
      <c r="M260" s="58" t="str">
        <f t="shared" si="27"/>
        <v/>
      </c>
      <c r="N260" s="57"/>
      <c r="O260" s="60" t="str">
        <f t="shared" si="28"/>
        <v/>
      </c>
      <c r="P260" s="60" t="str">
        <f t="shared" si="29"/>
        <v/>
      </c>
      <c r="Q260" s="60" t="str">
        <f t="shared" si="34"/>
        <v/>
      </c>
      <c r="R260" s="57"/>
      <c r="S260" s="58" t="str">
        <f t="shared" si="30"/>
        <v/>
      </c>
      <c r="T260" s="58" t="str">
        <f t="shared" si="31"/>
        <v/>
      </c>
      <c r="U260" s="61" t="str">
        <f t="shared" si="35"/>
        <v/>
      </c>
      <c r="V260" s="58" t="str">
        <f t="shared" si="32"/>
        <v/>
      </c>
      <c r="W260" s="57"/>
    </row>
    <row r="261" spans="1:23" s="59" customFormat="1" x14ac:dyDescent="0.25">
      <c r="A261" s="53"/>
      <c r="B261" s="54" t="str">
        <f>IF($B260="","",IF($B260+1&gt;dropdown!$D$12,"",Schema!B260+1))</f>
        <v/>
      </c>
      <c r="C261" s="55" t="str">
        <f>IF($B260="","",IF($B260+1&gt;dropdown!$D$12,"",EOMONTH(C260,0)+1))</f>
        <v/>
      </c>
      <c r="D261" s="53"/>
      <c r="E261" s="55" t="str">
        <f>IF($B260="","",IF($B260+1&gt;dropdown!$D$12,"",F260+1))</f>
        <v/>
      </c>
      <c r="F261" s="55" t="str">
        <f>IF($B260="","",IF($B260+1&gt;dropdown!$D$12,"",EOMONTH(E261,0)))</f>
        <v/>
      </c>
      <c r="G261" s="56" t="str">
        <f>IF($B260="","",IF($B260+1&gt;dropdown!$D$12,"",(_xlfn.DAYS(F261,E261)+1)/DAY(F261)))</f>
        <v/>
      </c>
      <c r="H261" s="57"/>
      <c r="I261" s="58" t="str">
        <f>IF($B260="","",IF($B260+1&gt;dropdown!$D$12,"",I260-J260))</f>
        <v/>
      </c>
      <c r="J261" s="58" t="str">
        <f>IF($B260="","",IF($B260+1&gt;dropdown!$D$12,"",IF(B260&lt;dropdown!$D$13,0,IF(Aflossingsmethode="Lineair",Aflossingsbedrag,IF(Aflossingsmethode="Annuïteit",IFERROR(Bedrag_annuïteit-K261,0),0)))))</f>
        <v/>
      </c>
      <c r="K261" s="58" t="str">
        <f>IF($B260="","",IF($B260+1&gt;dropdown!$D$12,"",G261*I261*Rentekosten))</f>
        <v/>
      </c>
      <c r="L261" s="58" t="str">
        <f t="shared" si="33"/>
        <v/>
      </c>
      <c r="M261" s="58" t="str">
        <f t="shared" si="27"/>
        <v/>
      </c>
      <c r="N261" s="57"/>
      <c r="O261" s="60" t="str">
        <f t="shared" si="28"/>
        <v/>
      </c>
      <c r="P261" s="60" t="str">
        <f t="shared" si="29"/>
        <v/>
      </c>
      <c r="Q261" s="60" t="str">
        <f t="shared" si="34"/>
        <v/>
      </c>
      <c r="R261" s="57"/>
      <c r="S261" s="58" t="str">
        <f t="shared" si="30"/>
        <v/>
      </c>
      <c r="T261" s="58" t="str">
        <f t="shared" si="31"/>
        <v/>
      </c>
      <c r="U261" s="61" t="str">
        <f t="shared" si="35"/>
        <v/>
      </c>
      <c r="V261" s="58" t="str">
        <f t="shared" si="32"/>
        <v/>
      </c>
      <c r="W261" s="57"/>
    </row>
    <row r="262" spans="1:23" s="59" customFormat="1" x14ac:dyDescent="0.25">
      <c r="A262" s="53"/>
      <c r="B262" s="54" t="str">
        <f>IF($B261="","",IF($B261+1&gt;dropdown!$D$12,"",Schema!B261+1))</f>
        <v/>
      </c>
      <c r="C262" s="55" t="str">
        <f>IF($B261="","",IF($B261+1&gt;dropdown!$D$12,"",EOMONTH(C261,0)+1))</f>
        <v/>
      </c>
      <c r="D262" s="53"/>
      <c r="E262" s="55" t="str">
        <f>IF($B261="","",IF($B261+1&gt;dropdown!$D$12,"",F261+1))</f>
        <v/>
      </c>
      <c r="F262" s="55" t="str">
        <f>IF($B261="","",IF($B261+1&gt;dropdown!$D$12,"",EOMONTH(E262,0)))</f>
        <v/>
      </c>
      <c r="G262" s="56" t="str">
        <f>IF($B261="","",IF($B261+1&gt;dropdown!$D$12,"",(_xlfn.DAYS(F262,E262)+1)/DAY(F262)))</f>
        <v/>
      </c>
      <c r="H262" s="57"/>
      <c r="I262" s="58" t="str">
        <f>IF($B261="","",IF($B261+1&gt;dropdown!$D$12,"",I261-J261))</f>
        <v/>
      </c>
      <c r="J262" s="58" t="str">
        <f>IF($B261="","",IF($B261+1&gt;dropdown!$D$12,"",IF(B261&lt;dropdown!$D$13,0,IF(Aflossingsmethode="Lineair",Aflossingsbedrag,IF(Aflossingsmethode="Annuïteit",IFERROR(Bedrag_annuïteit-K262,0),0)))))</f>
        <v/>
      </c>
      <c r="K262" s="58" t="str">
        <f>IF($B261="","",IF($B261+1&gt;dropdown!$D$12,"",G262*I262*Rentekosten))</f>
        <v/>
      </c>
      <c r="L262" s="58" t="str">
        <f t="shared" si="33"/>
        <v/>
      </c>
      <c r="M262" s="58" t="str">
        <f t="shared" si="27"/>
        <v/>
      </c>
      <c r="N262" s="57"/>
      <c r="O262" s="60" t="str">
        <f t="shared" si="28"/>
        <v/>
      </c>
      <c r="P262" s="60" t="str">
        <f t="shared" si="29"/>
        <v/>
      </c>
      <c r="Q262" s="60" t="str">
        <f t="shared" si="34"/>
        <v/>
      </c>
      <c r="R262" s="57"/>
      <c r="S262" s="58" t="str">
        <f t="shared" si="30"/>
        <v/>
      </c>
      <c r="T262" s="58" t="str">
        <f t="shared" si="31"/>
        <v/>
      </c>
      <c r="U262" s="61" t="str">
        <f t="shared" si="35"/>
        <v/>
      </c>
      <c r="V262" s="58" t="str">
        <f t="shared" si="32"/>
        <v/>
      </c>
      <c r="W262" s="57"/>
    </row>
    <row r="263" spans="1:23" s="59" customFormat="1" x14ac:dyDescent="0.25">
      <c r="A263" s="53"/>
      <c r="B263" s="54" t="str">
        <f>IF($B262="","",IF($B262+1&gt;dropdown!$D$12,"",Schema!B262+1))</f>
        <v/>
      </c>
      <c r="C263" s="55" t="str">
        <f>IF($B262="","",IF($B262+1&gt;dropdown!$D$12,"",EOMONTH(C262,0)+1))</f>
        <v/>
      </c>
      <c r="D263" s="53"/>
      <c r="E263" s="55" t="str">
        <f>IF($B262="","",IF($B262+1&gt;dropdown!$D$12,"",F262+1))</f>
        <v/>
      </c>
      <c r="F263" s="55" t="str">
        <f>IF($B262="","",IF($B262+1&gt;dropdown!$D$12,"",EOMONTH(E263,0)))</f>
        <v/>
      </c>
      <c r="G263" s="56" t="str">
        <f>IF($B262="","",IF($B262+1&gt;dropdown!$D$12,"",(_xlfn.DAYS(F263,E263)+1)/DAY(F263)))</f>
        <v/>
      </c>
      <c r="H263" s="57"/>
      <c r="I263" s="58" t="str">
        <f>IF($B262="","",IF($B262+1&gt;dropdown!$D$12,"",I262-J262))</f>
        <v/>
      </c>
      <c r="J263" s="58" t="str">
        <f>IF($B262="","",IF($B262+1&gt;dropdown!$D$12,"",IF(B262&lt;dropdown!$D$13,0,IF(Aflossingsmethode="Lineair",Aflossingsbedrag,IF(Aflossingsmethode="Annuïteit",IFERROR(Bedrag_annuïteit-K263,0),0)))))</f>
        <v/>
      </c>
      <c r="K263" s="58" t="str">
        <f>IF($B262="","",IF($B262+1&gt;dropdown!$D$12,"",G263*I263*Rentekosten))</f>
        <v/>
      </c>
      <c r="L263" s="58" t="str">
        <f t="shared" si="33"/>
        <v/>
      </c>
      <c r="M263" s="58" t="str">
        <f t="shared" si="27"/>
        <v/>
      </c>
      <c r="N263" s="57"/>
      <c r="O263" s="60" t="str">
        <f t="shared" si="28"/>
        <v/>
      </c>
      <c r="P263" s="60" t="str">
        <f t="shared" si="29"/>
        <v/>
      </c>
      <c r="Q263" s="60" t="str">
        <f t="shared" si="34"/>
        <v/>
      </c>
      <c r="R263" s="57"/>
      <c r="S263" s="58" t="str">
        <f t="shared" si="30"/>
        <v/>
      </c>
      <c r="T263" s="58" t="str">
        <f t="shared" si="31"/>
        <v/>
      </c>
      <c r="U263" s="61" t="str">
        <f t="shared" si="35"/>
        <v/>
      </c>
      <c r="V263" s="58" t="str">
        <f t="shared" si="32"/>
        <v/>
      </c>
      <c r="W263" s="57"/>
    </row>
    <row r="264" spans="1:23" s="59" customFormat="1" x14ac:dyDescent="0.25">
      <c r="A264" s="53"/>
      <c r="B264" s="54" t="str">
        <f>IF($B263="","",IF($B263+1&gt;dropdown!$D$12,"",Schema!B263+1))</f>
        <v/>
      </c>
      <c r="C264" s="55" t="str">
        <f>IF($B263="","",IF($B263+1&gt;dropdown!$D$12,"",EOMONTH(C263,0)+1))</f>
        <v/>
      </c>
      <c r="D264" s="53"/>
      <c r="E264" s="55" t="str">
        <f>IF($B263="","",IF($B263+1&gt;dropdown!$D$12,"",F263+1))</f>
        <v/>
      </c>
      <c r="F264" s="55" t="str">
        <f>IF($B263="","",IF($B263+1&gt;dropdown!$D$12,"",EOMONTH(E264,0)))</f>
        <v/>
      </c>
      <c r="G264" s="56" t="str">
        <f>IF($B263="","",IF($B263+1&gt;dropdown!$D$12,"",(_xlfn.DAYS(F264,E264)+1)/DAY(F264)))</f>
        <v/>
      </c>
      <c r="H264" s="57"/>
      <c r="I264" s="58" t="str">
        <f>IF($B263="","",IF($B263+1&gt;dropdown!$D$12,"",I263-J263))</f>
        <v/>
      </c>
      <c r="J264" s="58" t="str">
        <f>IF($B263="","",IF($B263+1&gt;dropdown!$D$12,"",IF(B263&lt;dropdown!$D$13,0,IF(Aflossingsmethode="Lineair",Aflossingsbedrag,IF(Aflossingsmethode="Annuïteit",IFERROR(Bedrag_annuïteit-K264,0),0)))))</f>
        <v/>
      </c>
      <c r="K264" s="58" t="str">
        <f>IF($B263="","",IF($B263+1&gt;dropdown!$D$12,"",G264*I264*Rentekosten))</f>
        <v/>
      </c>
      <c r="L264" s="58" t="str">
        <f t="shared" si="33"/>
        <v/>
      </c>
      <c r="M264" s="58" t="str">
        <f t="shared" si="27"/>
        <v/>
      </c>
      <c r="N264" s="57"/>
      <c r="O264" s="60" t="str">
        <f t="shared" si="28"/>
        <v/>
      </c>
      <c r="P264" s="60" t="str">
        <f t="shared" si="29"/>
        <v/>
      </c>
      <c r="Q264" s="60" t="str">
        <f t="shared" si="34"/>
        <v/>
      </c>
      <c r="R264" s="57"/>
      <c r="S264" s="58" t="str">
        <f t="shared" si="30"/>
        <v/>
      </c>
      <c r="T264" s="58" t="str">
        <f t="shared" si="31"/>
        <v/>
      </c>
      <c r="U264" s="61" t="str">
        <f t="shared" si="35"/>
        <v/>
      </c>
      <c r="V264" s="58" t="str">
        <f t="shared" si="32"/>
        <v/>
      </c>
      <c r="W264" s="57"/>
    </row>
    <row r="265" spans="1:23" s="59" customFormat="1" x14ac:dyDescent="0.25">
      <c r="A265" s="53"/>
      <c r="B265" s="54" t="str">
        <f>IF($B264="","",IF($B264+1&gt;dropdown!$D$12,"",Schema!B264+1))</f>
        <v/>
      </c>
      <c r="C265" s="55" t="str">
        <f>IF($B264="","",IF($B264+1&gt;dropdown!$D$12,"",EOMONTH(C264,0)+1))</f>
        <v/>
      </c>
      <c r="D265" s="53"/>
      <c r="E265" s="55" t="str">
        <f>IF($B264="","",IF($B264+1&gt;dropdown!$D$12,"",F264+1))</f>
        <v/>
      </c>
      <c r="F265" s="55" t="str">
        <f>IF($B264="","",IF($B264+1&gt;dropdown!$D$12,"",EOMONTH(E265,0)))</f>
        <v/>
      </c>
      <c r="G265" s="56" t="str">
        <f>IF($B264="","",IF($B264+1&gt;dropdown!$D$12,"",(_xlfn.DAYS(F265,E265)+1)/DAY(F265)))</f>
        <v/>
      </c>
      <c r="H265" s="57"/>
      <c r="I265" s="58" t="str">
        <f>IF($B264="","",IF($B264+1&gt;dropdown!$D$12,"",I264-J264))</f>
        <v/>
      </c>
      <c r="J265" s="58" t="str">
        <f>IF($B264="","",IF($B264+1&gt;dropdown!$D$12,"",IF(B264&lt;dropdown!$D$13,0,IF(Aflossingsmethode="Lineair",Aflossingsbedrag,IF(Aflossingsmethode="Annuïteit",IFERROR(Bedrag_annuïteit-K265,0),0)))))</f>
        <v/>
      </c>
      <c r="K265" s="58" t="str">
        <f>IF($B264="","",IF($B264+1&gt;dropdown!$D$12,"",G265*I265*Rentekosten))</f>
        <v/>
      </c>
      <c r="L265" s="58" t="str">
        <f t="shared" si="33"/>
        <v/>
      </c>
      <c r="M265" s="58" t="str">
        <f t="shared" si="27"/>
        <v/>
      </c>
      <c r="N265" s="57"/>
      <c r="O265" s="60" t="str">
        <f t="shared" si="28"/>
        <v/>
      </c>
      <c r="P265" s="60" t="str">
        <f t="shared" si="29"/>
        <v/>
      </c>
      <c r="Q265" s="60" t="str">
        <f t="shared" si="34"/>
        <v/>
      </c>
      <c r="R265" s="57"/>
      <c r="S265" s="58" t="str">
        <f t="shared" si="30"/>
        <v/>
      </c>
      <c r="T265" s="58" t="str">
        <f t="shared" si="31"/>
        <v/>
      </c>
      <c r="U265" s="61" t="str">
        <f t="shared" si="35"/>
        <v/>
      </c>
      <c r="V265" s="58" t="str">
        <f t="shared" si="32"/>
        <v/>
      </c>
      <c r="W265" s="57"/>
    </row>
    <row r="266" spans="1:23" s="59" customFormat="1" x14ac:dyDescent="0.25">
      <c r="A266" s="53"/>
      <c r="B266" s="54" t="str">
        <f>IF($B265="","",IF($B265+1&gt;dropdown!$D$12,"",Schema!B265+1))</f>
        <v/>
      </c>
      <c r="C266" s="55" t="str">
        <f>IF($B265="","",IF($B265+1&gt;dropdown!$D$12,"",EOMONTH(C265,0)+1))</f>
        <v/>
      </c>
      <c r="D266" s="53"/>
      <c r="E266" s="55" t="str">
        <f>IF($B265="","",IF($B265+1&gt;dropdown!$D$12,"",F265+1))</f>
        <v/>
      </c>
      <c r="F266" s="55" t="str">
        <f>IF($B265="","",IF($B265+1&gt;dropdown!$D$12,"",EOMONTH(E266,0)))</f>
        <v/>
      </c>
      <c r="G266" s="56" t="str">
        <f>IF($B265="","",IF($B265+1&gt;dropdown!$D$12,"",(_xlfn.DAYS(F266,E266)+1)/DAY(F266)))</f>
        <v/>
      </c>
      <c r="H266" s="57"/>
      <c r="I266" s="58" t="str">
        <f>IF($B265="","",IF($B265+1&gt;dropdown!$D$12,"",I265-J265))</f>
        <v/>
      </c>
      <c r="J266" s="58" t="str">
        <f>IF($B265="","",IF($B265+1&gt;dropdown!$D$12,"",IF(B265&lt;dropdown!$D$13,0,IF(Aflossingsmethode="Lineair",Aflossingsbedrag,IF(Aflossingsmethode="Annuïteit",IFERROR(Bedrag_annuïteit-K266,0),0)))))</f>
        <v/>
      </c>
      <c r="K266" s="58" t="str">
        <f>IF($B265="","",IF($B265+1&gt;dropdown!$D$12,"",G266*I266*Rentekosten))</f>
        <v/>
      </c>
      <c r="L266" s="58" t="str">
        <f t="shared" si="33"/>
        <v/>
      </c>
      <c r="M266" s="58" t="str">
        <f t="shared" ref="M266:M329" si="36">IF(S266="","",-K266-J266)</f>
        <v/>
      </c>
      <c r="N266" s="57"/>
      <c r="O266" s="60" t="str">
        <f t="shared" ref="O266:O329" si="37">IF($B266="","",Rentekosten)</f>
        <v/>
      </c>
      <c r="P266" s="60" t="str">
        <f t="shared" ref="P266:P329" si="38">IF($B266="","",Rentekosten*(POWER(1+Rentekosten,$B266-1+1)))</f>
        <v/>
      </c>
      <c r="Q266" s="60" t="str">
        <f t="shared" si="34"/>
        <v/>
      </c>
      <c r="R266" s="57"/>
      <c r="S266" s="58" t="str">
        <f t="shared" ref="S266:S329" si="39">IF(B266="","",IF(S265-T265&lt;0,"",S265-T265))</f>
        <v/>
      </c>
      <c r="T266" s="58" t="str">
        <f t="shared" ref="T266:T329" si="40">IF(S266="","",J266/(POWER(1+Rentekosten,$B266-1+1)))</f>
        <v/>
      </c>
      <c r="U266" s="61" t="str">
        <f t="shared" si="35"/>
        <v/>
      </c>
      <c r="V266" s="58" t="str">
        <f t="shared" ref="V266:V329" si="41">IF($B266="","",K266/(POWER(1+Rentekosten,$B266-1+1)))</f>
        <v/>
      </c>
      <c r="W266" s="57"/>
    </row>
    <row r="267" spans="1:23" s="59" customFormat="1" x14ac:dyDescent="0.25">
      <c r="A267" s="53"/>
      <c r="B267" s="54" t="str">
        <f>IF($B266="","",IF($B266+1&gt;dropdown!$D$12,"",Schema!B266+1))</f>
        <v/>
      </c>
      <c r="C267" s="55" t="str">
        <f>IF($B266="","",IF($B266+1&gt;dropdown!$D$12,"",EOMONTH(C266,0)+1))</f>
        <v/>
      </c>
      <c r="D267" s="53"/>
      <c r="E267" s="55" t="str">
        <f>IF($B266="","",IF($B266+1&gt;dropdown!$D$12,"",F266+1))</f>
        <v/>
      </c>
      <c r="F267" s="55" t="str">
        <f>IF($B266="","",IF($B266+1&gt;dropdown!$D$12,"",EOMONTH(E267,0)))</f>
        <v/>
      </c>
      <c r="G267" s="56" t="str">
        <f>IF($B266="","",IF($B266+1&gt;dropdown!$D$12,"",(_xlfn.DAYS(F267,E267)+1)/DAY(F267)))</f>
        <v/>
      </c>
      <c r="H267" s="57"/>
      <c r="I267" s="58" t="str">
        <f>IF($B266="","",IF($B266+1&gt;dropdown!$D$12,"",I266-J266))</f>
        <v/>
      </c>
      <c r="J267" s="58" t="str">
        <f>IF($B266="","",IF($B266+1&gt;dropdown!$D$12,"",IF(B266&lt;dropdown!$D$13,0,IF(Aflossingsmethode="Lineair",Aflossingsbedrag,IF(Aflossingsmethode="Annuïteit",IFERROR(Bedrag_annuïteit-K267,0),0)))))</f>
        <v/>
      </c>
      <c r="K267" s="58" t="str">
        <f>IF($B266="","",IF($B266+1&gt;dropdown!$D$12,"",G267*I267*Rentekosten))</f>
        <v/>
      </c>
      <c r="L267" s="58" t="str">
        <f t="shared" ref="L267:L330" si="42">IF(S267="","",-K267-J267)</f>
        <v/>
      </c>
      <c r="M267" s="58" t="str">
        <f t="shared" si="36"/>
        <v/>
      </c>
      <c r="N267" s="57"/>
      <c r="O267" s="60" t="str">
        <f t="shared" si="37"/>
        <v/>
      </c>
      <c r="P267" s="60" t="str">
        <f t="shared" si="38"/>
        <v/>
      </c>
      <c r="Q267" s="60" t="str">
        <f t="shared" ref="Q267:Q330" si="43">IF($B267="","",IFERROR(J267/T267-1,0))</f>
        <v/>
      </c>
      <c r="R267" s="57"/>
      <c r="S267" s="58" t="str">
        <f t="shared" si="39"/>
        <v/>
      </c>
      <c r="T267" s="58" t="str">
        <f t="shared" si="40"/>
        <v/>
      </c>
      <c r="U267" s="61" t="str">
        <f t="shared" ref="U267:U330" si="44">IF(S267="","",T267+V267)</f>
        <v/>
      </c>
      <c r="V267" s="58" t="str">
        <f t="shared" si="41"/>
        <v/>
      </c>
      <c r="W267" s="57"/>
    </row>
    <row r="268" spans="1:23" s="59" customFormat="1" x14ac:dyDescent="0.25">
      <c r="A268" s="53"/>
      <c r="B268" s="54" t="str">
        <f>IF($B267="","",IF($B267+1&gt;dropdown!$D$12,"",Schema!B267+1))</f>
        <v/>
      </c>
      <c r="C268" s="55" t="str">
        <f>IF($B267="","",IF($B267+1&gt;dropdown!$D$12,"",EOMONTH(C267,0)+1))</f>
        <v/>
      </c>
      <c r="D268" s="53"/>
      <c r="E268" s="55" t="str">
        <f>IF($B267="","",IF($B267+1&gt;dropdown!$D$12,"",F267+1))</f>
        <v/>
      </c>
      <c r="F268" s="55" t="str">
        <f>IF($B267="","",IF($B267+1&gt;dropdown!$D$12,"",EOMONTH(E268,0)))</f>
        <v/>
      </c>
      <c r="G268" s="56" t="str">
        <f>IF($B267="","",IF($B267+1&gt;dropdown!$D$12,"",(_xlfn.DAYS(F268,E268)+1)/DAY(F268)))</f>
        <v/>
      </c>
      <c r="H268" s="57"/>
      <c r="I268" s="58" t="str">
        <f>IF($B267="","",IF($B267+1&gt;dropdown!$D$12,"",I267-J267))</f>
        <v/>
      </c>
      <c r="J268" s="58" t="str">
        <f>IF($B267="","",IF($B267+1&gt;dropdown!$D$12,"",IF(B267&lt;dropdown!$D$13,0,IF(Aflossingsmethode="Lineair",Aflossingsbedrag,IF(Aflossingsmethode="Annuïteit",IFERROR(Bedrag_annuïteit-K268,0),0)))))</f>
        <v/>
      </c>
      <c r="K268" s="58" t="str">
        <f>IF($B267="","",IF($B267+1&gt;dropdown!$D$12,"",G268*I268*Rentekosten))</f>
        <v/>
      </c>
      <c r="L268" s="58" t="str">
        <f t="shared" si="42"/>
        <v/>
      </c>
      <c r="M268" s="58" t="str">
        <f t="shared" si="36"/>
        <v/>
      </c>
      <c r="N268" s="57"/>
      <c r="O268" s="60" t="str">
        <f t="shared" si="37"/>
        <v/>
      </c>
      <c r="P268" s="60" t="str">
        <f t="shared" si="38"/>
        <v/>
      </c>
      <c r="Q268" s="60" t="str">
        <f t="shared" si="43"/>
        <v/>
      </c>
      <c r="R268" s="57"/>
      <c r="S268" s="58" t="str">
        <f t="shared" si="39"/>
        <v/>
      </c>
      <c r="T268" s="58" t="str">
        <f t="shared" si="40"/>
        <v/>
      </c>
      <c r="U268" s="61" t="str">
        <f t="shared" si="44"/>
        <v/>
      </c>
      <c r="V268" s="58" t="str">
        <f t="shared" si="41"/>
        <v/>
      </c>
      <c r="W268" s="57"/>
    </row>
    <row r="269" spans="1:23" s="59" customFormat="1" x14ac:dyDescent="0.25">
      <c r="A269" s="53"/>
      <c r="B269" s="54" t="str">
        <f>IF($B268="","",IF($B268+1&gt;dropdown!$D$12,"",Schema!B268+1))</f>
        <v/>
      </c>
      <c r="C269" s="55" t="str">
        <f>IF($B268="","",IF($B268+1&gt;dropdown!$D$12,"",EOMONTH(C268,0)+1))</f>
        <v/>
      </c>
      <c r="D269" s="53"/>
      <c r="E269" s="55" t="str">
        <f>IF($B268="","",IF($B268+1&gt;dropdown!$D$12,"",F268+1))</f>
        <v/>
      </c>
      <c r="F269" s="55" t="str">
        <f>IF($B268="","",IF($B268+1&gt;dropdown!$D$12,"",EOMONTH(E269,0)))</f>
        <v/>
      </c>
      <c r="G269" s="56" t="str">
        <f>IF($B268="","",IF($B268+1&gt;dropdown!$D$12,"",(_xlfn.DAYS(F269,E269)+1)/DAY(F269)))</f>
        <v/>
      </c>
      <c r="H269" s="57"/>
      <c r="I269" s="58" t="str">
        <f>IF($B268="","",IF($B268+1&gt;dropdown!$D$12,"",I268-J268))</f>
        <v/>
      </c>
      <c r="J269" s="58" t="str">
        <f>IF($B268="","",IF($B268+1&gt;dropdown!$D$12,"",IF(B268&lt;dropdown!$D$13,0,IF(Aflossingsmethode="Lineair",Aflossingsbedrag,IF(Aflossingsmethode="Annuïteit",IFERROR(Bedrag_annuïteit-K269,0),0)))))</f>
        <v/>
      </c>
      <c r="K269" s="58" t="str">
        <f>IF($B268="","",IF($B268+1&gt;dropdown!$D$12,"",G269*I269*Rentekosten))</f>
        <v/>
      </c>
      <c r="L269" s="58" t="str">
        <f t="shared" si="42"/>
        <v/>
      </c>
      <c r="M269" s="58" t="str">
        <f t="shared" si="36"/>
        <v/>
      </c>
      <c r="N269" s="57"/>
      <c r="O269" s="60" t="str">
        <f t="shared" si="37"/>
        <v/>
      </c>
      <c r="P269" s="60" t="str">
        <f t="shared" si="38"/>
        <v/>
      </c>
      <c r="Q269" s="60" t="str">
        <f t="shared" si="43"/>
        <v/>
      </c>
      <c r="R269" s="57"/>
      <c r="S269" s="58" t="str">
        <f t="shared" si="39"/>
        <v/>
      </c>
      <c r="T269" s="58" t="str">
        <f t="shared" si="40"/>
        <v/>
      </c>
      <c r="U269" s="61" t="str">
        <f t="shared" si="44"/>
        <v/>
      </c>
      <c r="V269" s="58" t="str">
        <f t="shared" si="41"/>
        <v/>
      </c>
      <c r="W269" s="57"/>
    </row>
    <row r="270" spans="1:23" s="59" customFormat="1" x14ac:dyDescent="0.25">
      <c r="A270" s="53"/>
      <c r="B270" s="54" t="str">
        <f>IF($B269="","",IF($B269+1&gt;dropdown!$D$12,"",Schema!B269+1))</f>
        <v/>
      </c>
      <c r="C270" s="55" t="str">
        <f>IF($B269="","",IF($B269+1&gt;dropdown!$D$12,"",EOMONTH(C269,0)+1))</f>
        <v/>
      </c>
      <c r="D270" s="53"/>
      <c r="E270" s="55" t="str">
        <f>IF($B269="","",IF($B269+1&gt;dropdown!$D$12,"",F269+1))</f>
        <v/>
      </c>
      <c r="F270" s="55" t="str">
        <f>IF($B269="","",IF($B269+1&gt;dropdown!$D$12,"",EOMONTH(E270,0)))</f>
        <v/>
      </c>
      <c r="G270" s="56" t="str">
        <f>IF($B269="","",IF($B269+1&gt;dropdown!$D$12,"",(_xlfn.DAYS(F270,E270)+1)/DAY(F270)))</f>
        <v/>
      </c>
      <c r="H270" s="57"/>
      <c r="I270" s="58" t="str">
        <f>IF($B269="","",IF($B269+1&gt;dropdown!$D$12,"",I269-J269))</f>
        <v/>
      </c>
      <c r="J270" s="58" t="str">
        <f>IF($B269="","",IF($B269+1&gt;dropdown!$D$12,"",IF(B269&lt;dropdown!$D$13,0,IF(Aflossingsmethode="Lineair",Aflossingsbedrag,IF(Aflossingsmethode="Annuïteit",IFERROR(Bedrag_annuïteit-K270,0),0)))))</f>
        <v/>
      </c>
      <c r="K270" s="58" t="str">
        <f>IF($B269="","",IF($B269+1&gt;dropdown!$D$12,"",G270*I270*Rentekosten))</f>
        <v/>
      </c>
      <c r="L270" s="58" t="str">
        <f t="shared" si="42"/>
        <v/>
      </c>
      <c r="M270" s="58" t="str">
        <f t="shared" si="36"/>
        <v/>
      </c>
      <c r="N270" s="57"/>
      <c r="O270" s="60" t="str">
        <f t="shared" si="37"/>
        <v/>
      </c>
      <c r="P270" s="60" t="str">
        <f t="shared" si="38"/>
        <v/>
      </c>
      <c r="Q270" s="60" t="str">
        <f t="shared" si="43"/>
        <v/>
      </c>
      <c r="R270" s="57"/>
      <c r="S270" s="58" t="str">
        <f t="shared" si="39"/>
        <v/>
      </c>
      <c r="T270" s="58" t="str">
        <f t="shared" si="40"/>
        <v/>
      </c>
      <c r="U270" s="61" t="str">
        <f t="shared" si="44"/>
        <v/>
      </c>
      <c r="V270" s="58" t="str">
        <f t="shared" si="41"/>
        <v/>
      </c>
      <c r="W270" s="57"/>
    </row>
    <row r="271" spans="1:23" s="59" customFormat="1" x14ac:dyDescent="0.25">
      <c r="A271" s="53"/>
      <c r="B271" s="54" t="str">
        <f>IF($B270="","",IF($B270+1&gt;dropdown!$D$12,"",Schema!B270+1))</f>
        <v/>
      </c>
      <c r="C271" s="55" t="str">
        <f>IF($B270="","",IF($B270+1&gt;dropdown!$D$12,"",EOMONTH(C270,0)+1))</f>
        <v/>
      </c>
      <c r="D271" s="53"/>
      <c r="E271" s="55" t="str">
        <f>IF($B270="","",IF($B270+1&gt;dropdown!$D$12,"",F270+1))</f>
        <v/>
      </c>
      <c r="F271" s="55" t="str">
        <f>IF($B270="","",IF($B270+1&gt;dropdown!$D$12,"",EOMONTH(E271,0)))</f>
        <v/>
      </c>
      <c r="G271" s="56" t="str">
        <f>IF($B270="","",IF($B270+1&gt;dropdown!$D$12,"",(_xlfn.DAYS(F271,E271)+1)/DAY(F271)))</f>
        <v/>
      </c>
      <c r="H271" s="57"/>
      <c r="I271" s="58" t="str">
        <f>IF($B270="","",IF($B270+1&gt;dropdown!$D$12,"",I270-J270))</f>
        <v/>
      </c>
      <c r="J271" s="58" t="str">
        <f>IF($B270="","",IF($B270+1&gt;dropdown!$D$12,"",IF(B270&lt;dropdown!$D$13,0,IF(Aflossingsmethode="Lineair",Aflossingsbedrag,IF(Aflossingsmethode="Annuïteit",IFERROR(Bedrag_annuïteit-K271,0),0)))))</f>
        <v/>
      </c>
      <c r="K271" s="58" t="str">
        <f>IF($B270="","",IF($B270+1&gt;dropdown!$D$12,"",G271*I271*Rentekosten))</f>
        <v/>
      </c>
      <c r="L271" s="58" t="str">
        <f t="shared" si="42"/>
        <v/>
      </c>
      <c r="M271" s="58" t="str">
        <f t="shared" si="36"/>
        <v/>
      </c>
      <c r="N271" s="57"/>
      <c r="O271" s="60" t="str">
        <f t="shared" si="37"/>
        <v/>
      </c>
      <c r="P271" s="60" t="str">
        <f t="shared" si="38"/>
        <v/>
      </c>
      <c r="Q271" s="60" t="str">
        <f t="shared" si="43"/>
        <v/>
      </c>
      <c r="R271" s="57"/>
      <c r="S271" s="58" t="str">
        <f t="shared" si="39"/>
        <v/>
      </c>
      <c r="T271" s="58" t="str">
        <f t="shared" si="40"/>
        <v/>
      </c>
      <c r="U271" s="61" t="str">
        <f t="shared" si="44"/>
        <v/>
      </c>
      <c r="V271" s="58" t="str">
        <f t="shared" si="41"/>
        <v/>
      </c>
      <c r="W271" s="57"/>
    </row>
    <row r="272" spans="1:23" s="59" customFormat="1" x14ac:dyDescent="0.25">
      <c r="A272" s="53"/>
      <c r="B272" s="54" t="str">
        <f>IF($B271="","",IF($B271+1&gt;dropdown!$D$12,"",Schema!B271+1))</f>
        <v/>
      </c>
      <c r="C272" s="55" t="str">
        <f>IF($B271="","",IF($B271+1&gt;dropdown!$D$12,"",EOMONTH(C271,0)+1))</f>
        <v/>
      </c>
      <c r="D272" s="53"/>
      <c r="E272" s="55" t="str">
        <f>IF($B271="","",IF($B271+1&gt;dropdown!$D$12,"",F271+1))</f>
        <v/>
      </c>
      <c r="F272" s="55" t="str">
        <f>IF($B271="","",IF($B271+1&gt;dropdown!$D$12,"",EOMONTH(E272,0)))</f>
        <v/>
      </c>
      <c r="G272" s="56" t="str">
        <f>IF($B271="","",IF($B271+1&gt;dropdown!$D$12,"",(_xlfn.DAYS(F272,E272)+1)/DAY(F272)))</f>
        <v/>
      </c>
      <c r="H272" s="57"/>
      <c r="I272" s="58" t="str">
        <f>IF($B271="","",IF($B271+1&gt;dropdown!$D$12,"",I271-J271))</f>
        <v/>
      </c>
      <c r="J272" s="58" t="str">
        <f>IF($B271="","",IF($B271+1&gt;dropdown!$D$12,"",IF(B271&lt;dropdown!$D$13,0,IF(Aflossingsmethode="Lineair",Aflossingsbedrag,IF(Aflossingsmethode="Annuïteit",IFERROR(Bedrag_annuïteit-K272,0),0)))))</f>
        <v/>
      </c>
      <c r="K272" s="58" t="str">
        <f>IF($B271="","",IF($B271+1&gt;dropdown!$D$12,"",G272*I272*Rentekosten))</f>
        <v/>
      </c>
      <c r="L272" s="58" t="str">
        <f t="shared" si="42"/>
        <v/>
      </c>
      <c r="M272" s="58" t="str">
        <f t="shared" si="36"/>
        <v/>
      </c>
      <c r="N272" s="57"/>
      <c r="O272" s="60" t="str">
        <f t="shared" si="37"/>
        <v/>
      </c>
      <c r="P272" s="60" t="str">
        <f t="shared" si="38"/>
        <v/>
      </c>
      <c r="Q272" s="60" t="str">
        <f t="shared" si="43"/>
        <v/>
      </c>
      <c r="R272" s="57"/>
      <c r="S272" s="58" t="str">
        <f t="shared" si="39"/>
        <v/>
      </c>
      <c r="T272" s="58" t="str">
        <f t="shared" si="40"/>
        <v/>
      </c>
      <c r="U272" s="61" t="str">
        <f t="shared" si="44"/>
        <v/>
      </c>
      <c r="V272" s="58" t="str">
        <f t="shared" si="41"/>
        <v/>
      </c>
      <c r="W272" s="57"/>
    </row>
    <row r="273" spans="1:23" s="59" customFormat="1" x14ac:dyDescent="0.25">
      <c r="A273" s="53"/>
      <c r="B273" s="54" t="str">
        <f>IF($B272="","",IF($B272+1&gt;dropdown!$D$12,"",Schema!B272+1))</f>
        <v/>
      </c>
      <c r="C273" s="55" t="str">
        <f>IF($B272="","",IF($B272+1&gt;dropdown!$D$12,"",EOMONTH(C272,0)+1))</f>
        <v/>
      </c>
      <c r="D273" s="53"/>
      <c r="E273" s="55" t="str">
        <f>IF($B272="","",IF($B272+1&gt;dropdown!$D$12,"",F272+1))</f>
        <v/>
      </c>
      <c r="F273" s="55" t="str">
        <f>IF($B272="","",IF($B272+1&gt;dropdown!$D$12,"",EOMONTH(E273,0)))</f>
        <v/>
      </c>
      <c r="G273" s="56" t="str">
        <f>IF($B272="","",IF($B272+1&gt;dropdown!$D$12,"",(_xlfn.DAYS(F273,E273)+1)/DAY(F273)))</f>
        <v/>
      </c>
      <c r="H273" s="57"/>
      <c r="I273" s="58" t="str">
        <f>IF($B272="","",IF($B272+1&gt;dropdown!$D$12,"",I272-J272))</f>
        <v/>
      </c>
      <c r="J273" s="58" t="str">
        <f>IF($B272="","",IF($B272+1&gt;dropdown!$D$12,"",IF(B272&lt;dropdown!$D$13,0,IF(Aflossingsmethode="Lineair",Aflossingsbedrag,IF(Aflossingsmethode="Annuïteit",IFERROR(Bedrag_annuïteit-K273,0),0)))))</f>
        <v/>
      </c>
      <c r="K273" s="58" t="str">
        <f>IF($B272="","",IF($B272+1&gt;dropdown!$D$12,"",G273*I273*Rentekosten))</f>
        <v/>
      </c>
      <c r="L273" s="58" t="str">
        <f t="shared" si="42"/>
        <v/>
      </c>
      <c r="M273" s="58" t="str">
        <f t="shared" si="36"/>
        <v/>
      </c>
      <c r="N273" s="57"/>
      <c r="O273" s="60" t="str">
        <f t="shared" si="37"/>
        <v/>
      </c>
      <c r="P273" s="60" t="str">
        <f t="shared" si="38"/>
        <v/>
      </c>
      <c r="Q273" s="60" t="str">
        <f t="shared" si="43"/>
        <v/>
      </c>
      <c r="R273" s="57"/>
      <c r="S273" s="58" t="str">
        <f t="shared" si="39"/>
        <v/>
      </c>
      <c r="T273" s="58" t="str">
        <f t="shared" si="40"/>
        <v/>
      </c>
      <c r="U273" s="61" t="str">
        <f t="shared" si="44"/>
        <v/>
      </c>
      <c r="V273" s="58" t="str">
        <f t="shared" si="41"/>
        <v/>
      </c>
      <c r="W273" s="57"/>
    </row>
    <row r="274" spans="1:23" s="59" customFormat="1" x14ac:dyDescent="0.25">
      <c r="A274" s="53"/>
      <c r="B274" s="54" t="str">
        <f>IF($B273="","",IF($B273+1&gt;dropdown!$D$12,"",Schema!B273+1))</f>
        <v/>
      </c>
      <c r="C274" s="55" t="str">
        <f>IF($B273="","",IF($B273+1&gt;dropdown!$D$12,"",EOMONTH(C273,0)+1))</f>
        <v/>
      </c>
      <c r="D274" s="53"/>
      <c r="E274" s="55" t="str">
        <f>IF($B273="","",IF($B273+1&gt;dropdown!$D$12,"",F273+1))</f>
        <v/>
      </c>
      <c r="F274" s="55" t="str">
        <f>IF($B273="","",IF($B273+1&gt;dropdown!$D$12,"",EOMONTH(E274,0)))</f>
        <v/>
      </c>
      <c r="G274" s="56" t="str">
        <f>IF($B273="","",IF($B273+1&gt;dropdown!$D$12,"",(_xlfn.DAYS(F274,E274)+1)/DAY(F274)))</f>
        <v/>
      </c>
      <c r="H274" s="57"/>
      <c r="I274" s="58" t="str">
        <f>IF($B273="","",IF($B273+1&gt;dropdown!$D$12,"",I273-J273))</f>
        <v/>
      </c>
      <c r="J274" s="58" t="str">
        <f>IF($B273="","",IF($B273+1&gt;dropdown!$D$12,"",IF(B273&lt;dropdown!$D$13,0,IF(Aflossingsmethode="Lineair",Aflossingsbedrag,IF(Aflossingsmethode="Annuïteit",IFERROR(Bedrag_annuïteit-K274,0),0)))))</f>
        <v/>
      </c>
      <c r="K274" s="58" t="str">
        <f>IF($B273="","",IF($B273+1&gt;dropdown!$D$12,"",G274*I274*Rentekosten))</f>
        <v/>
      </c>
      <c r="L274" s="58" t="str">
        <f t="shared" si="42"/>
        <v/>
      </c>
      <c r="M274" s="58" t="str">
        <f t="shared" si="36"/>
        <v/>
      </c>
      <c r="N274" s="57"/>
      <c r="O274" s="60" t="str">
        <f t="shared" si="37"/>
        <v/>
      </c>
      <c r="P274" s="60" t="str">
        <f t="shared" si="38"/>
        <v/>
      </c>
      <c r="Q274" s="60" t="str">
        <f t="shared" si="43"/>
        <v/>
      </c>
      <c r="R274" s="57"/>
      <c r="S274" s="58" t="str">
        <f t="shared" si="39"/>
        <v/>
      </c>
      <c r="T274" s="58" t="str">
        <f t="shared" si="40"/>
        <v/>
      </c>
      <c r="U274" s="61" t="str">
        <f t="shared" si="44"/>
        <v/>
      </c>
      <c r="V274" s="58" t="str">
        <f t="shared" si="41"/>
        <v/>
      </c>
      <c r="W274" s="57"/>
    </row>
    <row r="275" spans="1:23" s="59" customFormat="1" x14ac:dyDescent="0.25">
      <c r="A275" s="53"/>
      <c r="B275" s="54" t="str">
        <f>IF($B274="","",IF($B274+1&gt;dropdown!$D$12,"",Schema!B274+1))</f>
        <v/>
      </c>
      <c r="C275" s="55" t="str">
        <f>IF($B274="","",IF($B274+1&gt;dropdown!$D$12,"",EOMONTH(C274,0)+1))</f>
        <v/>
      </c>
      <c r="D275" s="53"/>
      <c r="E275" s="55" t="str">
        <f>IF($B274="","",IF($B274+1&gt;dropdown!$D$12,"",F274+1))</f>
        <v/>
      </c>
      <c r="F275" s="55" t="str">
        <f>IF($B274="","",IF($B274+1&gt;dropdown!$D$12,"",EOMONTH(E275,0)))</f>
        <v/>
      </c>
      <c r="G275" s="56" t="str">
        <f>IF($B274="","",IF($B274+1&gt;dropdown!$D$12,"",(_xlfn.DAYS(F275,E275)+1)/DAY(F275)))</f>
        <v/>
      </c>
      <c r="H275" s="57"/>
      <c r="I275" s="58" t="str">
        <f>IF($B274="","",IF($B274+1&gt;dropdown!$D$12,"",I274-J274))</f>
        <v/>
      </c>
      <c r="J275" s="58" t="str">
        <f>IF($B274="","",IF($B274+1&gt;dropdown!$D$12,"",IF(B274&lt;dropdown!$D$13,0,IF(Aflossingsmethode="Lineair",Aflossingsbedrag,IF(Aflossingsmethode="Annuïteit",IFERROR(Bedrag_annuïteit-K275,0),0)))))</f>
        <v/>
      </c>
      <c r="K275" s="58" t="str">
        <f>IF($B274="","",IF($B274+1&gt;dropdown!$D$12,"",G275*I275*Rentekosten))</f>
        <v/>
      </c>
      <c r="L275" s="58" t="str">
        <f t="shared" si="42"/>
        <v/>
      </c>
      <c r="M275" s="58" t="str">
        <f t="shared" si="36"/>
        <v/>
      </c>
      <c r="N275" s="57"/>
      <c r="O275" s="60" t="str">
        <f t="shared" si="37"/>
        <v/>
      </c>
      <c r="P275" s="60" t="str">
        <f t="shared" si="38"/>
        <v/>
      </c>
      <c r="Q275" s="60" t="str">
        <f t="shared" si="43"/>
        <v/>
      </c>
      <c r="R275" s="57"/>
      <c r="S275" s="58" t="str">
        <f t="shared" si="39"/>
        <v/>
      </c>
      <c r="T275" s="58" t="str">
        <f t="shared" si="40"/>
        <v/>
      </c>
      <c r="U275" s="61" t="str">
        <f t="shared" si="44"/>
        <v/>
      </c>
      <c r="V275" s="58" t="str">
        <f t="shared" si="41"/>
        <v/>
      </c>
      <c r="W275" s="57"/>
    </row>
    <row r="276" spans="1:23" s="59" customFormat="1" x14ac:dyDescent="0.25">
      <c r="A276" s="53"/>
      <c r="B276" s="54" t="str">
        <f>IF($B275="","",IF($B275+1&gt;dropdown!$D$12,"",Schema!B275+1))</f>
        <v/>
      </c>
      <c r="C276" s="55" t="str">
        <f>IF($B275="","",IF($B275+1&gt;dropdown!$D$12,"",EOMONTH(C275,0)+1))</f>
        <v/>
      </c>
      <c r="D276" s="53"/>
      <c r="E276" s="55" t="str">
        <f>IF($B275="","",IF($B275+1&gt;dropdown!$D$12,"",F275+1))</f>
        <v/>
      </c>
      <c r="F276" s="55" t="str">
        <f>IF($B275="","",IF($B275+1&gt;dropdown!$D$12,"",EOMONTH(E276,0)))</f>
        <v/>
      </c>
      <c r="G276" s="56" t="str">
        <f>IF($B275="","",IF($B275+1&gt;dropdown!$D$12,"",(_xlfn.DAYS(F276,E276)+1)/DAY(F276)))</f>
        <v/>
      </c>
      <c r="H276" s="57"/>
      <c r="I276" s="58" t="str">
        <f>IF($B275="","",IF($B275+1&gt;dropdown!$D$12,"",I275-J275))</f>
        <v/>
      </c>
      <c r="J276" s="58" t="str">
        <f>IF($B275="","",IF($B275+1&gt;dropdown!$D$12,"",IF(B275&lt;dropdown!$D$13,0,IF(Aflossingsmethode="Lineair",Aflossingsbedrag,IF(Aflossingsmethode="Annuïteit",IFERROR(Bedrag_annuïteit-K276,0),0)))))</f>
        <v/>
      </c>
      <c r="K276" s="58" t="str">
        <f>IF($B275="","",IF($B275+1&gt;dropdown!$D$12,"",G276*I276*Rentekosten))</f>
        <v/>
      </c>
      <c r="L276" s="58" t="str">
        <f t="shared" si="42"/>
        <v/>
      </c>
      <c r="M276" s="58" t="str">
        <f t="shared" si="36"/>
        <v/>
      </c>
      <c r="N276" s="57"/>
      <c r="O276" s="60" t="str">
        <f t="shared" si="37"/>
        <v/>
      </c>
      <c r="P276" s="60" t="str">
        <f t="shared" si="38"/>
        <v/>
      </c>
      <c r="Q276" s="60" t="str">
        <f t="shared" si="43"/>
        <v/>
      </c>
      <c r="R276" s="57"/>
      <c r="S276" s="58" t="str">
        <f t="shared" si="39"/>
        <v/>
      </c>
      <c r="T276" s="58" t="str">
        <f t="shared" si="40"/>
        <v/>
      </c>
      <c r="U276" s="61" t="str">
        <f t="shared" si="44"/>
        <v/>
      </c>
      <c r="V276" s="58" t="str">
        <f t="shared" si="41"/>
        <v/>
      </c>
      <c r="W276" s="57"/>
    </row>
    <row r="277" spans="1:23" s="59" customFormat="1" x14ac:dyDescent="0.25">
      <c r="A277" s="53"/>
      <c r="B277" s="54" t="str">
        <f>IF($B276="","",IF($B276+1&gt;dropdown!$D$12,"",Schema!B276+1))</f>
        <v/>
      </c>
      <c r="C277" s="55" t="str">
        <f>IF($B276="","",IF($B276+1&gt;dropdown!$D$12,"",EOMONTH(C276,0)+1))</f>
        <v/>
      </c>
      <c r="D277" s="53"/>
      <c r="E277" s="55" t="str">
        <f>IF($B276="","",IF($B276+1&gt;dropdown!$D$12,"",F276+1))</f>
        <v/>
      </c>
      <c r="F277" s="55" t="str">
        <f>IF($B276="","",IF($B276+1&gt;dropdown!$D$12,"",EOMONTH(E277,0)))</f>
        <v/>
      </c>
      <c r="G277" s="56" t="str">
        <f>IF($B276="","",IF($B276+1&gt;dropdown!$D$12,"",(_xlfn.DAYS(F277,E277)+1)/DAY(F277)))</f>
        <v/>
      </c>
      <c r="H277" s="57"/>
      <c r="I277" s="58" t="str">
        <f>IF($B276="","",IF($B276+1&gt;dropdown!$D$12,"",I276-J276))</f>
        <v/>
      </c>
      <c r="J277" s="58" t="str">
        <f>IF($B276="","",IF($B276+1&gt;dropdown!$D$12,"",IF(B276&lt;dropdown!$D$13,0,IF(Aflossingsmethode="Lineair",Aflossingsbedrag,IF(Aflossingsmethode="Annuïteit",IFERROR(Bedrag_annuïteit-K277,0),0)))))</f>
        <v/>
      </c>
      <c r="K277" s="58" t="str">
        <f>IF($B276="","",IF($B276+1&gt;dropdown!$D$12,"",G277*I277*Rentekosten))</f>
        <v/>
      </c>
      <c r="L277" s="58" t="str">
        <f t="shared" si="42"/>
        <v/>
      </c>
      <c r="M277" s="58" t="str">
        <f t="shared" si="36"/>
        <v/>
      </c>
      <c r="N277" s="57"/>
      <c r="O277" s="60" t="str">
        <f t="shared" si="37"/>
        <v/>
      </c>
      <c r="P277" s="60" t="str">
        <f t="shared" si="38"/>
        <v/>
      </c>
      <c r="Q277" s="60" t="str">
        <f t="shared" si="43"/>
        <v/>
      </c>
      <c r="R277" s="57"/>
      <c r="S277" s="58" t="str">
        <f t="shared" si="39"/>
        <v/>
      </c>
      <c r="T277" s="58" t="str">
        <f t="shared" si="40"/>
        <v/>
      </c>
      <c r="U277" s="61" t="str">
        <f t="shared" si="44"/>
        <v/>
      </c>
      <c r="V277" s="58" t="str">
        <f t="shared" si="41"/>
        <v/>
      </c>
      <c r="W277" s="57"/>
    </row>
    <row r="278" spans="1:23" s="59" customFormat="1" x14ac:dyDescent="0.25">
      <c r="A278" s="53"/>
      <c r="B278" s="54" t="str">
        <f>IF($B277="","",IF($B277+1&gt;dropdown!$D$12,"",Schema!B277+1))</f>
        <v/>
      </c>
      <c r="C278" s="55" t="str">
        <f>IF($B277="","",IF($B277+1&gt;dropdown!$D$12,"",EOMONTH(C277,0)+1))</f>
        <v/>
      </c>
      <c r="D278" s="53"/>
      <c r="E278" s="55" t="str">
        <f>IF($B277="","",IF($B277+1&gt;dropdown!$D$12,"",F277+1))</f>
        <v/>
      </c>
      <c r="F278" s="55" t="str">
        <f>IF($B277="","",IF($B277+1&gt;dropdown!$D$12,"",EOMONTH(E278,0)))</f>
        <v/>
      </c>
      <c r="G278" s="56" t="str">
        <f>IF($B277="","",IF($B277+1&gt;dropdown!$D$12,"",(_xlfn.DAYS(F278,E278)+1)/DAY(F278)))</f>
        <v/>
      </c>
      <c r="H278" s="57"/>
      <c r="I278" s="58" t="str">
        <f>IF($B277="","",IF($B277+1&gt;dropdown!$D$12,"",I277-J277))</f>
        <v/>
      </c>
      <c r="J278" s="58" t="str">
        <f>IF($B277="","",IF($B277+1&gt;dropdown!$D$12,"",IF(B277&lt;dropdown!$D$13,0,IF(Aflossingsmethode="Lineair",Aflossingsbedrag,IF(Aflossingsmethode="Annuïteit",IFERROR(Bedrag_annuïteit-K278,0),0)))))</f>
        <v/>
      </c>
      <c r="K278" s="58" t="str">
        <f>IF($B277="","",IF($B277+1&gt;dropdown!$D$12,"",G278*I278*Rentekosten))</f>
        <v/>
      </c>
      <c r="L278" s="58" t="str">
        <f t="shared" si="42"/>
        <v/>
      </c>
      <c r="M278" s="58" t="str">
        <f t="shared" si="36"/>
        <v/>
      </c>
      <c r="N278" s="57"/>
      <c r="O278" s="60" t="str">
        <f t="shared" si="37"/>
        <v/>
      </c>
      <c r="P278" s="60" t="str">
        <f t="shared" si="38"/>
        <v/>
      </c>
      <c r="Q278" s="60" t="str">
        <f t="shared" si="43"/>
        <v/>
      </c>
      <c r="R278" s="57"/>
      <c r="S278" s="58" t="str">
        <f t="shared" si="39"/>
        <v/>
      </c>
      <c r="T278" s="58" t="str">
        <f t="shared" si="40"/>
        <v/>
      </c>
      <c r="U278" s="61" t="str">
        <f t="shared" si="44"/>
        <v/>
      </c>
      <c r="V278" s="58" t="str">
        <f t="shared" si="41"/>
        <v/>
      </c>
      <c r="W278" s="57"/>
    </row>
    <row r="279" spans="1:23" s="59" customFormat="1" x14ac:dyDescent="0.25">
      <c r="A279" s="53"/>
      <c r="B279" s="54" t="str">
        <f>IF($B278="","",IF($B278+1&gt;dropdown!$D$12,"",Schema!B278+1))</f>
        <v/>
      </c>
      <c r="C279" s="55" t="str">
        <f>IF($B278="","",IF($B278+1&gt;dropdown!$D$12,"",EOMONTH(C278,0)+1))</f>
        <v/>
      </c>
      <c r="D279" s="53"/>
      <c r="E279" s="55" t="str">
        <f>IF($B278="","",IF($B278+1&gt;dropdown!$D$12,"",F278+1))</f>
        <v/>
      </c>
      <c r="F279" s="55" t="str">
        <f>IF($B278="","",IF($B278+1&gt;dropdown!$D$12,"",EOMONTH(E279,0)))</f>
        <v/>
      </c>
      <c r="G279" s="56" t="str">
        <f>IF($B278="","",IF($B278+1&gt;dropdown!$D$12,"",(_xlfn.DAYS(F279,E279)+1)/DAY(F279)))</f>
        <v/>
      </c>
      <c r="H279" s="57"/>
      <c r="I279" s="58" t="str">
        <f>IF($B278="","",IF($B278+1&gt;dropdown!$D$12,"",I278-J278))</f>
        <v/>
      </c>
      <c r="J279" s="58" t="str">
        <f>IF($B278="","",IF($B278+1&gt;dropdown!$D$12,"",IF(B278&lt;dropdown!$D$13,0,IF(Aflossingsmethode="Lineair",Aflossingsbedrag,IF(Aflossingsmethode="Annuïteit",IFERROR(Bedrag_annuïteit-K279,0),0)))))</f>
        <v/>
      </c>
      <c r="K279" s="58" t="str">
        <f>IF($B278="","",IF($B278+1&gt;dropdown!$D$12,"",G279*I279*Rentekosten))</f>
        <v/>
      </c>
      <c r="L279" s="58" t="str">
        <f t="shared" si="42"/>
        <v/>
      </c>
      <c r="M279" s="58" t="str">
        <f t="shared" si="36"/>
        <v/>
      </c>
      <c r="N279" s="57"/>
      <c r="O279" s="60" t="str">
        <f t="shared" si="37"/>
        <v/>
      </c>
      <c r="P279" s="60" t="str">
        <f t="shared" si="38"/>
        <v/>
      </c>
      <c r="Q279" s="60" t="str">
        <f t="shared" si="43"/>
        <v/>
      </c>
      <c r="R279" s="57"/>
      <c r="S279" s="58" t="str">
        <f t="shared" si="39"/>
        <v/>
      </c>
      <c r="T279" s="58" t="str">
        <f t="shared" si="40"/>
        <v/>
      </c>
      <c r="U279" s="61" t="str">
        <f t="shared" si="44"/>
        <v/>
      </c>
      <c r="V279" s="58" t="str">
        <f t="shared" si="41"/>
        <v/>
      </c>
      <c r="W279" s="57"/>
    </row>
    <row r="280" spans="1:23" s="59" customFormat="1" x14ac:dyDescent="0.25">
      <c r="A280" s="53"/>
      <c r="B280" s="54" t="str">
        <f>IF($B279="","",IF($B279+1&gt;dropdown!$D$12,"",Schema!B279+1))</f>
        <v/>
      </c>
      <c r="C280" s="55" t="str">
        <f>IF($B279="","",IF($B279+1&gt;dropdown!$D$12,"",EOMONTH(C279,0)+1))</f>
        <v/>
      </c>
      <c r="D280" s="53"/>
      <c r="E280" s="55" t="str">
        <f>IF($B279="","",IF($B279+1&gt;dropdown!$D$12,"",F279+1))</f>
        <v/>
      </c>
      <c r="F280" s="55" t="str">
        <f>IF($B279="","",IF($B279+1&gt;dropdown!$D$12,"",EOMONTH(E280,0)))</f>
        <v/>
      </c>
      <c r="G280" s="56" t="str">
        <f>IF($B279="","",IF($B279+1&gt;dropdown!$D$12,"",(_xlfn.DAYS(F280,E280)+1)/DAY(F280)))</f>
        <v/>
      </c>
      <c r="H280" s="57"/>
      <c r="I280" s="58" t="str">
        <f>IF($B279="","",IF($B279+1&gt;dropdown!$D$12,"",I279-J279))</f>
        <v/>
      </c>
      <c r="J280" s="58" t="str">
        <f>IF($B279="","",IF($B279+1&gt;dropdown!$D$12,"",IF(B279&lt;dropdown!$D$13,0,IF(Aflossingsmethode="Lineair",Aflossingsbedrag,IF(Aflossingsmethode="Annuïteit",IFERROR(Bedrag_annuïteit-K280,0),0)))))</f>
        <v/>
      </c>
      <c r="K280" s="58" t="str">
        <f>IF($B279="","",IF($B279+1&gt;dropdown!$D$12,"",G280*I280*Rentekosten))</f>
        <v/>
      </c>
      <c r="L280" s="58" t="str">
        <f t="shared" si="42"/>
        <v/>
      </c>
      <c r="M280" s="58" t="str">
        <f t="shared" si="36"/>
        <v/>
      </c>
      <c r="N280" s="57"/>
      <c r="O280" s="60" t="str">
        <f t="shared" si="37"/>
        <v/>
      </c>
      <c r="P280" s="60" t="str">
        <f t="shared" si="38"/>
        <v/>
      </c>
      <c r="Q280" s="60" t="str">
        <f t="shared" si="43"/>
        <v/>
      </c>
      <c r="R280" s="57"/>
      <c r="S280" s="58" t="str">
        <f t="shared" si="39"/>
        <v/>
      </c>
      <c r="T280" s="58" t="str">
        <f t="shared" si="40"/>
        <v/>
      </c>
      <c r="U280" s="61" t="str">
        <f t="shared" si="44"/>
        <v/>
      </c>
      <c r="V280" s="58" t="str">
        <f t="shared" si="41"/>
        <v/>
      </c>
      <c r="W280" s="57"/>
    </row>
    <row r="281" spans="1:23" s="59" customFormat="1" x14ac:dyDescent="0.25">
      <c r="A281" s="53"/>
      <c r="B281" s="54" t="str">
        <f>IF($B280="","",IF($B280+1&gt;dropdown!$D$12,"",Schema!B280+1))</f>
        <v/>
      </c>
      <c r="C281" s="55" t="str">
        <f>IF($B280="","",IF($B280+1&gt;dropdown!$D$12,"",EOMONTH(C280,0)+1))</f>
        <v/>
      </c>
      <c r="D281" s="53"/>
      <c r="E281" s="55" t="str">
        <f>IF($B280="","",IF($B280+1&gt;dropdown!$D$12,"",F280+1))</f>
        <v/>
      </c>
      <c r="F281" s="55" t="str">
        <f>IF($B280="","",IF($B280+1&gt;dropdown!$D$12,"",EOMONTH(E281,0)))</f>
        <v/>
      </c>
      <c r="G281" s="56" t="str">
        <f>IF($B280="","",IF($B280+1&gt;dropdown!$D$12,"",(_xlfn.DAYS(F281,E281)+1)/DAY(F281)))</f>
        <v/>
      </c>
      <c r="H281" s="57"/>
      <c r="I281" s="58" t="str">
        <f>IF($B280="","",IF($B280+1&gt;dropdown!$D$12,"",I280-J280))</f>
        <v/>
      </c>
      <c r="J281" s="58" t="str">
        <f>IF($B280="","",IF($B280+1&gt;dropdown!$D$12,"",IF(B280&lt;dropdown!$D$13,0,IF(Aflossingsmethode="Lineair",Aflossingsbedrag,IF(Aflossingsmethode="Annuïteit",IFERROR(Bedrag_annuïteit-K281,0),0)))))</f>
        <v/>
      </c>
      <c r="K281" s="58" t="str">
        <f>IF($B280="","",IF($B280+1&gt;dropdown!$D$12,"",G281*I281*Rentekosten))</f>
        <v/>
      </c>
      <c r="L281" s="58" t="str">
        <f t="shared" si="42"/>
        <v/>
      </c>
      <c r="M281" s="58" t="str">
        <f t="shared" si="36"/>
        <v/>
      </c>
      <c r="N281" s="57"/>
      <c r="O281" s="60" t="str">
        <f t="shared" si="37"/>
        <v/>
      </c>
      <c r="P281" s="60" t="str">
        <f t="shared" si="38"/>
        <v/>
      </c>
      <c r="Q281" s="60" t="str">
        <f t="shared" si="43"/>
        <v/>
      </c>
      <c r="R281" s="57"/>
      <c r="S281" s="58" t="str">
        <f t="shared" si="39"/>
        <v/>
      </c>
      <c r="T281" s="58" t="str">
        <f t="shared" si="40"/>
        <v/>
      </c>
      <c r="U281" s="61" t="str">
        <f t="shared" si="44"/>
        <v/>
      </c>
      <c r="V281" s="58" t="str">
        <f t="shared" si="41"/>
        <v/>
      </c>
      <c r="W281" s="57"/>
    </row>
    <row r="282" spans="1:23" s="59" customFormat="1" x14ac:dyDescent="0.25">
      <c r="A282" s="53"/>
      <c r="B282" s="54" t="str">
        <f>IF($B281="","",IF($B281+1&gt;dropdown!$D$12,"",Schema!B281+1))</f>
        <v/>
      </c>
      <c r="C282" s="55" t="str">
        <f>IF($B281="","",IF($B281+1&gt;dropdown!$D$12,"",EOMONTH(C281,0)+1))</f>
        <v/>
      </c>
      <c r="D282" s="53"/>
      <c r="E282" s="55" t="str">
        <f>IF($B281="","",IF($B281+1&gt;dropdown!$D$12,"",F281+1))</f>
        <v/>
      </c>
      <c r="F282" s="55" t="str">
        <f>IF($B281="","",IF($B281+1&gt;dropdown!$D$12,"",EOMONTH(E282,0)))</f>
        <v/>
      </c>
      <c r="G282" s="56" t="str">
        <f>IF($B281="","",IF($B281+1&gt;dropdown!$D$12,"",(_xlfn.DAYS(F282,E282)+1)/DAY(F282)))</f>
        <v/>
      </c>
      <c r="H282" s="57"/>
      <c r="I282" s="58" t="str">
        <f>IF($B281="","",IF($B281+1&gt;dropdown!$D$12,"",I281-J281))</f>
        <v/>
      </c>
      <c r="J282" s="58" t="str">
        <f>IF($B281="","",IF($B281+1&gt;dropdown!$D$12,"",IF(B281&lt;dropdown!$D$13,0,IF(Aflossingsmethode="Lineair",Aflossingsbedrag,IF(Aflossingsmethode="Annuïteit",IFERROR(Bedrag_annuïteit-K282,0),0)))))</f>
        <v/>
      </c>
      <c r="K282" s="58" t="str">
        <f>IF($B281="","",IF($B281+1&gt;dropdown!$D$12,"",G282*I282*Rentekosten))</f>
        <v/>
      </c>
      <c r="L282" s="58" t="str">
        <f t="shared" si="42"/>
        <v/>
      </c>
      <c r="M282" s="58" t="str">
        <f t="shared" si="36"/>
        <v/>
      </c>
      <c r="N282" s="57"/>
      <c r="O282" s="60" t="str">
        <f t="shared" si="37"/>
        <v/>
      </c>
      <c r="P282" s="60" t="str">
        <f t="shared" si="38"/>
        <v/>
      </c>
      <c r="Q282" s="60" t="str">
        <f t="shared" si="43"/>
        <v/>
      </c>
      <c r="R282" s="57"/>
      <c r="S282" s="58" t="str">
        <f t="shared" si="39"/>
        <v/>
      </c>
      <c r="T282" s="58" t="str">
        <f t="shared" si="40"/>
        <v/>
      </c>
      <c r="U282" s="61" t="str">
        <f t="shared" si="44"/>
        <v/>
      </c>
      <c r="V282" s="58" t="str">
        <f t="shared" si="41"/>
        <v/>
      </c>
      <c r="W282" s="57"/>
    </row>
    <row r="283" spans="1:23" s="59" customFormat="1" x14ac:dyDescent="0.25">
      <c r="A283" s="53"/>
      <c r="B283" s="54" t="str">
        <f>IF($B282="","",IF($B282+1&gt;dropdown!$D$12,"",Schema!B282+1))</f>
        <v/>
      </c>
      <c r="C283" s="55" t="str">
        <f>IF($B282="","",IF($B282+1&gt;dropdown!$D$12,"",EOMONTH(C282,0)+1))</f>
        <v/>
      </c>
      <c r="D283" s="53"/>
      <c r="E283" s="55" t="str">
        <f>IF($B282="","",IF($B282+1&gt;dropdown!$D$12,"",F282+1))</f>
        <v/>
      </c>
      <c r="F283" s="55" t="str">
        <f>IF($B282="","",IF($B282+1&gt;dropdown!$D$12,"",EOMONTH(E283,0)))</f>
        <v/>
      </c>
      <c r="G283" s="56" t="str">
        <f>IF($B282="","",IF($B282+1&gt;dropdown!$D$12,"",(_xlfn.DAYS(F283,E283)+1)/DAY(F283)))</f>
        <v/>
      </c>
      <c r="H283" s="57"/>
      <c r="I283" s="58" t="str">
        <f>IF($B282="","",IF($B282+1&gt;dropdown!$D$12,"",I282-J282))</f>
        <v/>
      </c>
      <c r="J283" s="58" t="str">
        <f>IF($B282="","",IF($B282+1&gt;dropdown!$D$12,"",IF(B282&lt;dropdown!$D$13,0,IF(Aflossingsmethode="Lineair",Aflossingsbedrag,IF(Aflossingsmethode="Annuïteit",IFERROR(Bedrag_annuïteit-K283,0),0)))))</f>
        <v/>
      </c>
      <c r="K283" s="58" t="str">
        <f>IF($B282="","",IF($B282+1&gt;dropdown!$D$12,"",G283*I283*Rentekosten))</f>
        <v/>
      </c>
      <c r="L283" s="58" t="str">
        <f t="shared" si="42"/>
        <v/>
      </c>
      <c r="M283" s="58" t="str">
        <f t="shared" si="36"/>
        <v/>
      </c>
      <c r="N283" s="57"/>
      <c r="O283" s="60" t="str">
        <f t="shared" si="37"/>
        <v/>
      </c>
      <c r="P283" s="60" t="str">
        <f t="shared" si="38"/>
        <v/>
      </c>
      <c r="Q283" s="60" t="str">
        <f t="shared" si="43"/>
        <v/>
      </c>
      <c r="R283" s="57"/>
      <c r="S283" s="58" t="str">
        <f t="shared" si="39"/>
        <v/>
      </c>
      <c r="T283" s="58" t="str">
        <f t="shared" si="40"/>
        <v/>
      </c>
      <c r="U283" s="61" t="str">
        <f t="shared" si="44"/>
        <v/>
      </c>
      <c r="V283" s="58" t="str">
        <f t="shared" si="41"/>
        <v/>
      </c>
      <c r="W283" s="57"/>
    </row>
    <row r="284" spans="1:23" s="59" customFormat="1" x14ac:dyDescent="0.25">
      <c r="A284" s="53"/>
      <c r="B284" s="54" t="str">
        <f>IF($B283="","",IF($B283+1&gt;dropdown!$D$12,"",Schema!B283+1))</f>
        <v/>
      </c>
      <c r="C284" s="55" t="str">
        <f>IF($B283="","",IF($B283+1&gt;dropdown!$D$12,"",EOMONTH(C283,0)+1))</f>
        <v/>
      </c>
      <c r="D284" s="53"/>
      <c r="E284" s="55" t="str">
        <f>IF($B283="","",IF($B283+1&gt;dropdown!$D$12,"",F283+1))</f>
        <v/>
      </c>
      <c r="F284" s="55" t="str">
        <f>IF($B283="","",IF($B283+1&gt;dropdown!$D$12,"",EOMONTH(E284,0)))</f>
        <v/>
      </c>
      <c r="G284" s="56" t="str">
        <f>IF($B283="","",IF($B283+1&gt;dropdown!$D$12,"",(_xlfn.DAYS(F284,E284)+1)/DAY(F284)))</f>
        <v/>
      </c>
      <c r="H284" s="57"/>
      <c r="I284" s="58" t="str">
        <f>IF($B283="","",IF($B283+1&gt;dropdown!$D$12,"",I283-J283))</f>
        <v/>
      </c>
      <c r="J284" s="58" t="str">
        <f>IF($B283="","",IF($B283+1&gt;dropdown!$D$12,"",IF(B283&lt;dropdown!$D$13,0,IF(Aflossingsmethode="Lineair",Aflossingsbedrag,IF(Aflossingsmethode="Annuïteit",IFERROR(Bedrag_annuïteit-K284,0),0)))))</f>
        <v/>
      </c>
      <c r="K284" s="58" t="str">
        <f>IF($B283="","",IF($B283+1&gt;dropdown!$D$12,"",G284*I284*Rentekosten))</f>
        <v/>
      </c>
      <c r="L284" s="58" t="str">
        <f t="shared" si="42"/>
        <v/>
      </c>
      <c r="M284" s="58" t="str">
        <f t="shared" si="36"/>
        <v/>
      </c>
      <c r="N284" s="57"/>
      <c r="O284" s="60" t="str">
        <f t="shared" si="37"/>
        <v/>
      </c>
      <c r="P284" s="60" t="str">
        <f t="shared" si="38"/>
        <v/>
      </c>
      <c r="Q284" s="60" t="str">
        <f t="shared" si="43"/>
        <v/>
      </c>
      <c r="R284" s="57"/>
      <c r="S284" s="58" t="str">
        <f t="shared" si="39"/>
        <v/>
      </c>
      <c r="T284" s="58" t="str">
        <f t="shared" si="40"/>
        <v/>
      </c>
      <c r="U284" s="61" t="str">
        <f t="shared" si="44"/>
        <v/>
      </c>
      <c r="V284" s="58" t="str">
        <f t="shared" si="41"/>
        <v/>
      </c>
      <c r="W284" s="57"/>
    </row>
    <row r="285" spans="1:23" s="59" customFormat="1" x14ac:dyDescent="0.25">
      <c r="A285" s="53"/>
      <c r="B285" s="54" t="str">
        <f>IF($B284="","",IF($B284+1&gt;dropdown!$D$12,"",Schema!B284+1))</f>
        <v/>
      </c>
      <c r="C285" s="55" t="str">
        <f>IF($B284="","",IF($B284+1&gt;dropdown!$D$12,"",EOMONTH(C284,0)+1))</f>
        <v/>
      </c>
      <c r="D285" s="53"/>
      <c r="E285" s="55" t="str">
        <f>IF($B284="","",IF($B284+1&gt;dropdown!$D$12,"",F284+1))</f>
        <v/>
      </c>
      <c r="F285" s="55" t="str">
        <f>IF($B284="","",IF($B284+1&gt;dropdown!$D$12,"",EOMONTH(E285,0)))</f>
        <v/>
      </c>
      <c r="G285" s="56" t="str">
        <f>IF($B284="","",IF($B284+1&gt;dropdown!$D$12,"",(_xlfn.DAYS(F285,E285)+1)/DAY(F285)))</f>
        <v/>
      </c>
      <c r="H285" s="57"/>
      <c r="I285" s="58" t="str">
        <f>IF($B284="","",IF($B284+1&gt;dropdown!$D$12,"",I284-J284))</f>
        <v/>
      </c>
      <c r="J285" s="58" t="str">
        <f>IF($B284="","",IF($B284+1&gt;dropdown!$D$12,"",IF(B284&lt;dropdown!$D$13,0,IF(Aflossingsmethode="Lineair",Aflossingsbedrag,IF(Aflossingsmethode="Annuïteit",IFERROR(Bedrag_annuïteit-K285,0),0)))))</f>
        <v/>
      </c>
      <c r="K285" s="58" t="str">
        <f>IF($B284="","",IF($B284+1&gt;dropdown!$D$12,"",G285*I285*Rentekosten))</f>
        <v/>
      </c>
      <c r="L285" s="58" t="str">
        <f t="shared" si="42"/>
        <v/>
      </c>
      <c r="M285" s="58" t="str">
        <f t="shared" si="36"/>
        <v/>
      </c>
      <c r="N285" s="57"/>
      <c r="O285" s="60" t="str">
        <f t="shared" si="37"/>
        <v/>
      </c>
      <c r="P285" s="60" t="str">
        <f t="shared" si="38"/>
        <v/>
      </c>
      <c r="Q285" s="60" t="str">
        <f t="shared" si="43"/>
        <v/>
      </c>
      <c r="R285" s="57"/>
      <c r="S285" s="58" t="str">
        <f t="shared" si="39"/>
        <v/>
      </c>
      <c r="T285" s="58" t="str">
        <f t="shared" si="40"/>
        <v/>
      </c>
      <c r="U285" s="61" t="str">
        <f t="shared" si="44"/>
        <v/>
      </c>
      <c r="V285" s="58" t="str">
        <f t="shared" si="41"/>
        <v/>
      </c>
      <c r="W285" s="57"/>
    </row>
    <row r="286" spans="1:23" s="59" customFormat="1" x14ac:dyDescent="0.25">
      <c r="A286" s="53"/>
      <c r="B286" s="54" t="str">
        <f>IF($B285="","",IF($B285+1&gt;dropdown!$D$12,"",Schema!B285+1))</f>
        <v/>
      </c>
      <c r="C286" s="55" t="str">
        <f>IF($B285="","",IF($B285+1&gt;dropdown!$D$12,"",EOMONTH(C285,0)+1))</f>
        <v/>
      </c>
      <c r="D286" s="53"/>
      <c r="E286" s="55" t="str">
        <f>IF($B285="","",IF($B285+1&gt;dropdown!$D$12,"",F285+1))</f>
        <v/>
      </c>
      <c r="F286" s="55" t="str">
        <f>IF($B285="","",IF($B285+1&gt;dropdown!$D$12,"",EOMONTH(E286,0)))</f>
        <v/>
      </c>
      <c r="G286" s="56" t="str">
        <f>IF($B285="","",IF($B285+1&gt;dropdown!$D$12,"",(_xlfn.DAYS(F286,E286)+1)/DAY(F286)))</f>
        <v/>
      </c>
      <c r="H286" s="57"/>
      <c r="I286" s="58" t="str">
        <f>IF($B285="","",IF($B285+1&gt;dropdown!$D$12,"",I285-J285))</f>
        <v/>
      </c>
      <c r="J286" s="58" t="str">
        <f>IF($B285="","",IF($B285+1&gt;dropdown!$D$12,"",IF(B285&lt;dropdown!$D$13,0,IF(Aflossingsmethode="Lineair",Aflossingsbedrag,IF(Aflossingsmethode="Annuïteit",IFERROR(Bedrag_annuïteit-K286,0),0)))))</f>
        <v/>
      </c>
      <c r="K286" s="58" t="str">
        <f>IF($B285="","",IF($B285+1&gt;dropdown!$D$12,"",G286*I286*Rentekosten))</f>
        <v/>
      </c>
      <c r="L286" s="58" t="str">
        <f t="shared" si="42"/>
        <v/>
      </c>
      <c r="M286" s="58" t="str">
        <f t="shared" si="36"/>
        <v/>
      </c>
      <c r="N286" s="57"/>
      <c r="O286" s="60" t="str">
        <f t="shared" si="37"/>
        <v/>
      </c>
      <c r="P286" s="60" t="str">
        <f t="shared" si="38"/>
        <v/>
      </c>
      <c r="Q286" s="60" t="str">
        <f t="shared" si="43"/>
        <v/>
      </c>
      <c r="R286" s="57"/>
      <c r="S286" s="58" t="str">
        <f t="shared" si="39"/>
        <v/>
      </c>
      <c r="T286" s="58" t="str">
        <f t="shared" si="40"/>
        <v/>
      </c>
      <c r="U286" s="61" t="str">
        <f t="shared" si="44"/>
        <v/>
      </c>
      <c r="V286" s="58" t="str">
        <f t="shared" si="41"/>
        <v/>
      </c>
      <c r="W286" s="57"/>
    </row>
    <row r="287" spans="1:23" s="59" customFormat="1" x14ac:dyDescent="0.25">
      <c r="A287" s="53"/>
      <c r="B287" s="54" t="str">
        <f>IF($B286="","",IF($B286+1&gt;dropdown!$D$12,"",Schema!B286+1))</f>
        <v/>
      </c>
      <c r="C287" s="55" t="str">
        <f>IF($B286="","",IF($B286+1&gt;dropdown!$D$12,"",EOMONTH(C286,0)+1))</f>
        <v/>
      </c>
      <c r="D287" s="53"/>
      <c r="E287" s="55" t="str">
        <f>IF($B286="","",IF($B286+1&gt;dropdown!$D$12,"",F286+1))</f>
        <v/>
      </c>
      <c r="F287" s="55" t="str">
        <f>IF($B286="","",IF($B286+1&gt;dropdown!$D$12,"",EOMONTH(E287,0)))</f>
        <v/>
      </c>
      <c r="G287" s="56" t="str">
        <f>IF($B286="","",IF($B286+1&gt;dropdown!$D$12,"",(_xlfn.DAYS(F287,E287)+1)/DAY(F287)))</f>
        <v/>
      </c>
      <c r="H287" s="57"/>
      <c r="I287" s="58" t="str">
        <f>IF($B286="","",IF($B286+1&gt;dropdown!$D$12,"",I286-J286))</f>
        <v/>
      </c>
      <c r="J287" s="58" t="str">
        <f>IF($B286="","",IF($B286+1&gt;dropdown!$D$12,"",IF(B286&lt;dropdown!$D$13,0,IF(Aflossingsmethode="Lineair",Aflossingsbedrag,IF(Aflossingsmethode="Annuïteit",IFERROR(Bedrag_annuïteit-K287,0),0)))))</f>
        <v/>
      </c>
      <c r="K287" s="58" t="str">
        <f>IF($B286="","",IF($B286+1&gt;dropdown!$D$12,"",G287*I287*Rentekosten))</f>
        <v/>
      </c>
      <c r="L287" s="58" t="str">
        <f t="shared" si="42"/>
        <v/>
      </c>
      <c r="M287" s="58" t="str">
        <f t="shared" si="36"/>
        <v/>
      </c>
      <c r="N287" s="57"/>
      <c r="O287" s="60" t="str">
        <f t="shared" si="37"/>
        <v/>
      </c>
      <c r="P287" s="60" t="str">
        <f t="shared" si="38"/>
        <v/>
      </c>
      <c r="Q287" s="60" t="str">
        <f t="shared" si="43"/>
        <v/>
      </c>
      <c r="R287" s="57"/>
      <c r="S287" s="58" t="str">
        <f t="shared" si="39"/>
        <v/>
      </c>
      <c r="T287" s="58" t="str">
        <f t="shared" si="40"/>
        <v/>
      </c>
      <c r="U287" s="61" t="str">
        <f t="shared" si="44"/>
        <v/>
      </c>
      <c r="V287" s="58" t="str">
        <f t="shared" si="41"/>
        <v/>
      </c>
      <c r="W287" s="57"/>
    </row>
    <row r="288" spans="1:23" s="59" customFormat="1" x14ac:dyDescent="0.25">
      <c r="A288" s="53"/>
      <c r="B288" s="54" t="str">
        <f>IF($B287="","",IF($B287+1&gt;dropdown!$D$12,"",Schema!B287+1))</f>
        <v/>
      </c>
      <c r="C288" s="55" t="str">
        <f>IF($B287="","",IF($B287+1&gt;dropdown!$D$12,"",EOMONTH(C287,0)+1))</f>
        <v/>
      </c>
      <c r="D288" s="53"/>
      <c r="E288" s="55" t="str">
        <f>IF($B287="","",IF($B287+1&gt;dropdown!$D$12,"",F287+1))</f>
        <v/>
      </c>
      <c r="F288" s="55" t="str">
        <f>IF($B287="","",IF($B287+1&gt;dropdown!$D$12,"",EOMONTH(E288,0)))</f>
        <v/>
      </c>
      <c r="G288" s="56" t="str">
        <f>IF($B287="","",IF($B287+1&gt;dropdown!$D$12,"",(_xlfn.DAYS(F288,E288)+1)/DAY(F288)))</f>
        <v/>
      </c>
      <c r="H288" s="57"/>
      <c r="I288" s="58" t="str">
        <f>IF($B287="","",IF($B287+1&gt;dropdown!$D$12,"",I287-J287))</f>
        <v/>
      </c>
      <c r="J288" s="58" t="str">
        <f>IF($B287="","",IF($B287+1&gt;dropdown!$D$12,"",IF(B287&lt;dropdown!$D$13,0,IF(Aflossingsmethode="Lineair",Aflossingsbedrag,IF(Aflossingsmethode="Annuïteit",IFERROR(Bedrag_annuïteit-K288,0),0)))))</f>
        <v/>
      </c>
      <c r="K288" s="58" t="str">
        <f>IF($B287="","",IF($B287+1&gt;dropdown!$D$12,"",G288*I288*Rentekosten))</f>
        <v/>
      </c>
      <c r="L288" s="58" t="str">
        <f t="shared" si="42"/>
        <v/>
      </c>
      <c r="M288" s="58" t="str">
        <f t="shared" si="36"/>
        <v/>
      </c>
      <c r="N288" s="57"/>
      <c r="O288" s="60" t="str">
        <f t="shared" si="37"/>
        <v/>
      </c>
      <c r="P288" s="60" t="str">
        <f t="shared" si="38"/>
        <v/>
      </c>
      <c r="Q288" s="60" t="str">
        <f t="shared" si="43"/>
        <v/>
      </c>
      <c r="R288" s="57"/>
      <c r="S288" s="58" t="str">
        <f t="shared" si="39"/>
        <v/>
      </c>
      <c r="T288" s="58" t="str">
        <f t="shared" si="40"/>
        <v/>
      </c>
      <c r="U288" s="61" t="str">
        <f t="shared" si="44"/>
        <v/>
      </c>
      <c r="V288" s="58" t="str">
        <f t="shared" si="41"/>
        <v/>
      </c>
      <c r="W288" s="57"/>
    </row>
    <row r="289" spans="1:23" s="59" customFormat="1" x14ac:dyDescent="0.25">
      <c r="A289" s="53"/>
      <c r="B289" s="54" t="str">
        <f>IF($B288="","",IF($B288+1&gt;dropdown!$D$12,"",Schema!B288+1))</f>
        <v/>
      </c>
      <c r="C289" s="55" t="str">
        <f>IF($B288="","",IF($B288+1&gt;dropdown!$D$12,"",EOMONTH(C288,0)+1))</f>
        <v/>
      </c>
      <c r="D289" s="53"/>
      <c r="E289" s="55" t="str">
        <f>IF($B288="","",IF($B288+1&gt;dropdown!$D$12,"",F288+1))</f>
        <v/>
      </c>
      <c r="F289" s="55" t="str">
        <f>IF($B288="","",IF($B288+1&gt;dropdown!$D$12,"",EOMONTH(E289,0)))</f>
        <v/>
      </c>
      <c r="G289" s="56" t="str">
        <f>IF($B288="","",IF($B288+1&gt;dropdown!$D$12,"",(_xlfn.DAYS(F289,E289)+1)/DAY(F289)))</f>
        <v/>
      </c>
      <c r="H289" s="57"/>
      <c r="I289" s="58" t="str">
        <f>IF($B288="","",IF($B288+1&gt;dropdown!$D$12,"",I288-J288))</f>
        <v/>
      </c>
      <c r="J289" s="58" t="str">
        <f>IF($B288="","",IF($B288+1&gt;dropdown!$D$12,"",IF(B288&lt;dropdown!$D$13,0,IF(Aflossingsmethode="Lineair",Aflossingsbedrag,IF(Aflossingsmethode="Annuïteit",IFERROR(Bedrag_annuïteit-K289,0),0)))))</f>
        <v/>
      </c>
      <c r="K289" s="58" t="str">
        <f>IF($B288="","",IF($B288+1&gt;dropdown!$D$12,"",G289*I289*Rentekosten))</f>
        <v/>
      </c>
      <c r="L289" s="58" t="str">
        <f t="shared" si="42"/>
        <v/>
      </c>
      <c r="M289" s="58" t="str">
        <f t="shared" si="36"/>
        <v/>
      </c>
      <c r="N289" s="57"/>
      <c r="O289" s="60" t="str">
        <f t="shared" si="37"/>
        <v/>
      </c>
      <c r="P289" s="60" t="str">
        <f t="shared" si="38"/>
        <v/>
      </c>
      <c r="Q289" s="60" t="str">
        <f t="shared" si="43"/>
        <v/>
      </c>
      <c r="R289" s="57"/>
      <c r="S289" s="58" t="str">
        <f t="shared" si="39"/>
        <v/>
      </c>
      <c r="T289" s="58" t="str">
        <f t="shared" si="40"/>
        <v/>
      </c>
      <c r="U289" s="61" t="str">
        <f t="shared" si="44"/>
        <v/>
      </c>
      <c r="V289" s="58" t="str">
        <f t="shared" si="41"/>
        <v/>
      </c>
      <c r="W289" s="57"/>
    </row>
    <row r="290" spans="1:23" s="59" customFormat="1" x14ac:dyDescent="0.25">
      <c r="A290" s="53"/>
      <c r="B290" s="54" t="str">
        <f>IF($B289="","",IF($B289+1&gt;dropdown!$D$12,"",Schema!B289+1))</f>
        <v/>
      </c>
      <c r="C290" s="55" t="str">
        <f>IF($B289="","",IF($B289+1&gt;dropdown!$D$12,"",EOMONTH(C289,0)+1))</f>
        <v/>
      </c>
      <c r="D290" s="53"/>
      <c r="E290" s="55" t="str">
        <f>IF($B289="","",IF($B289+1&gt;dropdown!$D$12,"",F289+1))</f>
        <v/>
      </c>
      <c r="F290" s="55" t="str">
        <f>IF($B289="","",IF($B289+1&gt;dropdown!$D$12,"",EOMONTH(E290,0)))</f>
        <v/>
      </c>
      <c r="G290" s="56" t="str">
        <f>IF($B289="","",IF($B289+1&gt;dropdown!$D$12,"",(_xlfn.DAYS(F290,E290)+1)/DAY(F290)))</f>
        <v/>
      </c>
      <c r="H290" s="57"/>
      <c r="I290" s="58" t="str">
        <f>IF($B289="","",IF($B289+1&gt;dropdown!$D$12,"",I289-J289))</f>
        <v/>
      </c>
      <c r="J290" s="58" t="str">
        <f>IF($B289="","",IF($B289+1&gt;dropdown!$D$12,"",IF(B289&lt;dropdown!$D$13,0,IF(Aflossingsmethode="Lineair",Aflossingsbedrag,IF(Aflossingsmethode="Annuïteit",IFERROR(Bedrag_annuïteit-K290,0),0)))))</f>
        <v/>
      </c>
      <c r="K290" s="58" t="str">
        <f>IF($B289="","",IF($B289+1&gt;dropdown!$D$12,"",G290*I290*Rentekosten))</f>
        <v/>
      </c>
      <c r="L290" s="58" t="str">
        <f t="shared" si="42"/>
        <v/>
      </c>
      <c r="M290" s="58" t="str">
        <f t="shared" si="36"/>
        <v/>
      </c>
      <c r="N290" s="57"/>
      <c r="O290" s="60" t="str">
        <f t="shared" si="37"/>
        <v/>
      </c>
      <c r="P290" s="60" t="str">
        <f t="shared" si="38"/>
        <v/>
      </c>
      <c r="Q290" s="60" t="str">
        <f t="shared" si="43"/>
        <v/>
      </c>
      <c r="R290" s="57"/>
      <c r="S290" s="58" t="str">
        <f t="shared" si="39"/>
        <v/>
      </c>
      <c r="T290" s="58" t="str">
        <f t="shared" si="40"/>
        <v/>
      </c>
      <c r="U290" s="61" t="str">
        <f t="shared" si="44"/>
        <v/>
      </c>
      <c r="V290" s="58" t="str">
        <f t="shared" si="41"/>
        <v/>
      </c>
      <c r="W290" s="57"/>
    </row>
    <row r="291" spans="1:23" s="59" customFormat="1" x14ac:dyDescent="0.25">
      <c r="A291" s="53"/>
      <c r="B291" s="54" t="str">
        <f>IF($B290="","",IF($B290+1&gt;dropdown!$D$12,"",Schema!B290+1))</f>
        <v/>
      </c>
      <c r="C291" s="55" t="str">
        <f>IF($B290="","",IF($B290+1&gt;dropdown!$D$12,"",EOMONTH(C290,0)+1))</f>
        <v/>
      </c>
      <c r="D291" s="53"/>
      <c r="E291" s="55" t="str">
        <f>IF($B290="","",IF($B290+1&gt;dropdown!$D$12,"",F290+1))</f>
        <v/>
      </c>
      <c r="F291" s="55" t="str">
        <f>IF($B290="","",IF($B290+1&gt;dropdown!$D$12,"",EOMONTH(E291,0)))</f>
        <v/>
      </c>
      <c r="G291" s="56" t="str">
        <f>IF($B290="","",IF($B290+1&gt;dropdown!$D$12,"",(_xlfn.DAYS(F291,E291)+1)/DAY(F291)))</f>
        <v/>
      </c>
      <c r="H291" s="57"/>
      <c r="I291" s="58" t="str">
        <f>IF($B290="","",IF($B290+1&gt;dropdown!$D$12,"",I290-J290))</f>
        <v/>
      </c>
      <c r="J291" s="58" t="str">
        <f>IF($B290="","",IF($B290+1&gt;dropdown!$D$12,"",IF(B290&lt;dropdown!$D$13,0,IF(Aflossingsmethode="Lineair",Aflossingsbedrag,IF(Aflossingsmethode="Annuïteit",IFERROR(Bedrag_annuïteit-K291,0),0)))))</f>
        <v/>
      </c>
      <c r="K291" s="58" t="str">
        <f>IF($B290="","",IF($B290+1&gt;dropdown!$D$12,"",G291*I291*Rentekosten))</f>
        <v/>
      </c>
      <c r="L291" s="58" t="str">
        <f t="shared" si="42"/>
        <v/>
      </c>
      <c r="M291" s="58" t="str">
        <f t="shared" si="36"/>
        <v/>
      </c>
      <c r="N291" s="57"/>
      <c r="O291" s="60" t="str">
        <f t="shared" si="37"/>
        <v/>
      </c>
      <c r="P291" s="60" t="str">
        <f t="shared" si="38"/>
        <v/>
      </c>
      <c r="Q291" s="60" t="str">
        <f t="shared" si="43"/>
        <v/>
      </c>
      <c r="R291" s="57"/>
      <c r="S291" s="58" t="str">
        <f t="shared" si="39"/>
        <v/>
      </c>
      <c r="T291" s="58" t="str">
        <f t="shared" si="40"/>
        <v/>
      </c>
      <c r="U291" s="61" t="str">
        <f t="shared" si="44"/>
        <v/>
      </c>
      <c r="V291" s="58" t="str">
        <f t="shared" si="41"/>
        <v/>
      </c>
      <c r="W291" s="57"/>
    </row>
    <row r="292" spans="1:23" s="59" customFormat="1" x14ac:dyDescent="0.25">
      <c r="A292" s="53"/>
      <c r="B292" s="54" t="str">
        <f>IF($B291="","",IF($B291+1&gt;dropdown!$D$12,"",Schema!B291+1))</f>
        <v/>
      </c>
      <c r="C292" s="55" t="str">
        <f>IF($B291="","",IF($B291+1&gt;dropdown!$D$12,"",EOMONTH(C291,0)+1))</f>
        <v/>
      </c>
      <c r="D292" s="53"/>
      <c r="E292" s="55" t="str">
        <f>IF($B291="","",IF($B291+1&gt;dropdown!$D$12,"",F291+1))</f>
        <v/>
      </c>
      <c r="F292" s="55" t="str">
        <f>IF($B291="","",IF($B291+1&gt;dropdown!$D$12,"",EOMONTH(E292,0)))</f>
        <v/>
      </c>
      <c r="G292" s="56" t="str">
        <f>IF($B291="","",IF($B291+1&gt;dropdown!$D$12,"",(_xlfn.DAYS(F292,E292)+1)/DAY(F292)))</f>
        <v/>
      </c>
      <c r="H292" s="57"/>
      <c r="I292" s="58" t="str">
        <f>IF($B291="","",IF($B291+1&gt;dropdown!$D$12,"",I291-J291))</f>
        <v/>
      </c>
      <c r="J292" s="58" t="str">
        <f>IF($B291="","",IF($B291+1&gt;dropdown!$D$12,"",IF(B291&lt;dropdown!$D$13,0,IF(Aflossingsmethode="Lineair",Aflossingsbedrag,IF(Aflossingsmethode="Annuïteit",IFERROR(Bedrag_annuïteit-K292,0),0)))))</f>
        <v/>
      </c>
      <c r="K292" s="58" t="str">
        <f>IF($B291="","",IF($B291+1&gt;dropdown!$D$12,"",G292*I292*Rentekosten))</f>
        <v/>
      </c>
      <c r="L292" s="58" t="str">
        <f t="shared" si="42"/>
        <v/>
      </c>
      <c r="M292" s="58" t="str">
        <f t="shared" si="36"/>
        <v/>
      </c>
      <c r="N292" s="57"/>
      <c r="O292" s="60" t="str">
        <f t="shared" si="37"/>
        <v/>
      </c>
      <c r="P292" s="60" t="str">
        <f t="shared" si="38"/>
        <v/>
      </c>
      <c r="Q292" s="60" t="str">
        <f t="shared" si="43"/>
        <v/>
      </c>
      <c r="R292" s="57"/>
      <c r="S292" s="58" t="str">
        <f t="shared" si="39"/>
        <v/>
      </c>
      <c r="T292" s="58" t="str">
        <f t="shared" si="40"/>
        <v/>
      </c>
      <c r="U292" s="61" t="str">
        <f t="shared" si="44"/>
        <v/>
      </c>
      <c r="V292" s="58" t="str">
        <f t="shared" si="41"/>
        <v/>
      </c>
      <c r="W292" s="57"/>
    </row>
    <row r="293" spans="1:23" s="59" customFormat="1" x14ac:dyDescent="0.25">
      <c r="A293" s="53"/>
      <c r="B293" s="54" t="str">
        <f>IF($B292="","",IF($B292+1&gt;dropdown!$D$12,"",Schema!B292+1))</f>
        <v/>
      </c>
      <c r="C293" s="55" t="str">
        <f>IF($B292="","",IF($B292+1&gt;dropdown!$D$12,"",EOMONTH(C292,0)+1))</f>
        <v/>
      </c>
      <c r="D293" s="53"/>
      <c r="E293" s="55" t="str">
        <f>IF($B292="","",IF($B292+1&gt;dropdown!$D$12,"",F292+1))</f>
        <v/>
      </c>
      <c r="F293" s="55" t="str">
        <f>IF($B292="","",IF($B292+1&gt;dropdown!$D$12,"",EOMONTH(E293,0)))</f>
        <v/>
      </c>
      <c r="G293" s="56" t="str">
        <f>IF($B292="","",IF($B292+1&gt;dropdown!$D$12,"",(_xlfn.DAYS(F293,E293)+1)/DAY(F293)))</f>
        <v/>
      </c>
      <c r="H293" s="57"/>
      <c r="I293" s="58" t="str">
        <f>IF($B292="","",IF($B292+1&gt;dropdown!$D$12,"",I292-J292))</f>
        <v/>
      </c>
      <c r="J293" s="58" t="str">
        <f>IF($B292="","",IF($B292+1&gt;dropdown!$D$12,"",IF(B292&lt;dropdown!$D$13,0,IF(Aflossingsmethode="Lineair",Aflossingsbedrag,IF(Aflossingsmethode="Annuïteit",IFERROR(Bedrag_annuïteit-K293,0),0)))))</f>
        <v/>
      </c>
      <c r="K293" s="58" t="str">
        <f>IF($B292="","",IF($B292+1&gt;dropdown!$D$12,"",G293*I293*Rentekosten))</f>
        <v/>
      </c>
      <c r="L293" s="58" t="str">
        <f t="shared" si="42"/>
        <v/>
      </c>
      <c r="M293" s="58" t="str">
        <f t="shared" si="36"/>
        <v/>
      </c>
      <c r="N293" s="57"/>
      <c r="O293" s="60" t="str">
        <f t="shared" si="37"/>
        <v/>
      </c>
      <c r="P293" s="60" t="str">
        <f t="shared" si="38"/>
        <v/>
      </c>
      <c r="Q293" s="60" t="str">
        <f t="shared" si="43"/>
        <v/>
      </c>
      <c r="R293" s="57"/>
      <c r="S293" s="58" t="str">
        <f t="shared" si="39"/>
        <v/>
      </c>
      <c r="T293" s="58" t="str">
        <f t="shared" si="40"/>
        <v/>
      </c>
      <c r="U293" s="61" t="str">
        <f t="shared" si="44"/>
        <v/>
      </c>
      <c r="V293" s="58" t="str">
        <f t="shared" si="41"/>
        <v/>
      </c>
      <c r="W293" s="57"/>
    </row>
    <row r="294" spans="1:23" s="59" customFormat="1" x14ac:dyDescent="0.25">
      <c r="A294" s="53"/>
      <c r="B294" s="54" t="str">
        <f>IF($B293="","",IF($B293+1&gt;dropdown!$D$12,"",Schema!B293+1))</f>
        <v/>
      </c>
      <c r="C294" s="55" t="str">
        <f>IF($B293="","",IF($B293+1&gt;dropdown!$D$12,"",EOMONTH(C293,0)+1))</f>
        <v/>
      </c>
      <c r="D294" s="53"/>
      <c r="E294" s="55" t="str">
        <f>IF($B293="","",IF($B293+1&gt;dropdown!$D$12,"",F293+1))</f>
        <v/>
      </c>
      <c r="F294" s="55" t="str">
        <f>IF($B293="","",IF($B293+1&gt;dropdown!$D$12,"",EOMONTH(E294,0)))</f>
        <v/>
      </c>
      <c r="G294" s="56" t="str">
        <f>IF($B293="","",IF($B293+1&gt;dropdown!$D$12,"",(_xlfn.DAYS(F294,E294)+1)/DAY(F294)))</f>
        <v/>
      </c>
      <c r="H294" s="57"/>
      <c r="I294" s="58" t="str">
        <f>IF($B293="","",IF($B293+1&gt;dropdown!$D$12,"",I293-J293))</f>
        <v/>
      </c>
      <c r="J294" s="58" t="str">
        <f>IF($B293="","",IF($B293+1&gt;dropdown!$D$12,"",IF(B293&lt;dropdown!$D$13,0,IF(Aflossingsmethode="Lineair",Aflossingsbedrag,IF(Aflossingsmethode="Annuïteit",IFERROR(Bedrag_annuïteit-K294,0),0)))))</f>
        <v/>
      </c>
      <c r="K294" s="58" t="str">
        <f>IF($B293="","",IF($B293+1&gt;dropdown!$D$12,"",G294*I294*Rentekosten))</f>
        <v/>
      </c>
      <c r="L294" s="58" t="str">
        <f t="shared" si="42"/>
        <v/>
      </c>
      <c r="M294" s="58" t="str">
        <f t="shared" si="36"/>
        <v/>
      </c>
      <c r="N294" s="57"/>
      <c r="O294" s="60" t="str">
        <f t="shared" si="37"/>
        <v/>
      </c>
      <c r="P294" s="60" t="str">
        <f t="shared" si="38"/>
        <v/>
      </c>
      <c r="Q294" s="60" t="str">
        <f t="shared" si="43"/>
        <v/>
      </c>
      <c r="R294" s="57"/>
      <c r="S294" s="58" t="str">
        <f t="shared" si="39"/>
        <v/>
      </c>
      <c r="T294" s="58" t="str">
        <f t="shared" si="40"/>
        <v/>
      </c>
      <c r="U294" s="61" t="str">
        <f t="shared" si="44"/>
        <v/>
      </c>
      <c r="V294" s="58" t="str">
        <f t="shared" si="41"/>
        <v/>
      </c>
      <c r="W294" s="57"/>
    </row>
    <row r="295" spans="1:23" s="59" customFormat="1" x14ac:dyDescent="0.25">
      <c r="A295" s="53"/>
      <c r="B295" s="54" t="str">
        <f>IF($B294="","",IF($B294+1&gt;dropdown!$D$12,"",Schema!B294+1))</f>
        <v/>
      </c>
      <c r="C295" s="55" t="str">
        <f>IF($B294="","",IF($B294+1&gt;dropdown!$D$12,"",EOMONTH(C294,0)+1))</f>
        <v/>
      </c>
      <c r="D295" s="53"/>
      <c r="E295" s="55" t="str">
        <f>IF($B294="","",IF($B294+1&gt;dropdown!$D$12,"",F294+1))</f>
        <v/>
      </c>
      <c r="F295" s="55" t="str">
        <f>IF($B294="","",IF($B294+1&gt;dropdown!$D$12,"",EOMONTH(E295,0)))</f>
        <v/>
      </c>
      <c r="G295" s="56" t="str">
        <f>IF($B294="","",IF($B294+1&gt;dropdown!$D$12,"",(_xlfn.DAYS(F295,E295)+1)/DAY(F295)))</f>
        <v/>
      </c>
      <c r="H295" s="57"/>
      <c r="I295" s="58" t="str">
        <f>IF($B294="","",IF($B294+1&gt;dropdown!$D$12,"",I294-J294))</f>
        <v/>
      </c>
      <c r="J295" s="58" t="str">
        <f>IF($B294="","",IF($B294+1&gt;dropdown!$D$12,"",IF(B294&lt;dropdown!$D$13,0,IF(Aflossingsmethode="Lineair",Aflossingsbedrag,IF(Aflossingsmethode="Annuïteit",IFERROR(Bedrag_annuïteit-K295,0),0)))))</f>
        <v/>
      </c>
      <c r="K295" s="58" t="str">
        <f>IF($B294="","",IF($B294+1&gt;dropdown!$D$12,"",G295*I295*Rentekosten))</f>
        <v/>
      </c>
      <c r="L295" s="58" t="str">
        <f t="shared" si="42"/>
        <v/>
      </c>
      <c r="M295" s="58" t="str">
        <f t="shared" si="36"/>
        <v/>
      </c>
      <c r="N295" s="57"/>
      <c r="O295" s="60" t="str">
        <f t="shared" si="37"/>
        <v/>
      </c>
      <c r="P295" s="60" t="str">
        <f t="shared" si="38"/>
        <v/>
      </c>
      <c r="Q295" s="60" t="str">
        <f t="shared" si="43"/>
        <v/>
      </c>
      <c r="R295" s="57"/>
      <c r="S295" s="58" t="str">
        <f t="shared" si="39"/>
        <v/>
      </c>
      <c r="T295" s="58" t="str">
        <f t="shared" si="40"/>
        <v/>
      </c>
      <c r="U295" s="61" t="str">
        <f t="shared" si="44"/>
        <v/>
      </c>
      <c r="V295" s="58" t="str">
        <f t="shared" si="41"/>
        <v/>
      </c>
      <c r="W295" s="57"/>
    </row>
    <row r="296" spans="1:23" s="59" customFormat="1" x14ac:dyDescent="0.25">
      <c r="A296" s="53"/>
      <c r="B296" s="54" t="str">
        <f>IF($B295="","",IF($B295+1&gt;dropdown!$D$12,"",Schema!B295+1))</f>
        <v/>
      </c>
      <c r="C296" s="55" t="str">
        <f>IF($B295="","",IF($B295+1&gt;dropdown!$D$12,"",EOMONTH(C295,0)+1))</f>
        <v/>
      </c>
      <c r="D296" s="53"/>
      <c r="E296" s="55" t="str">
        <f>IF($B295="","",IF($B295+1&gt;dropdown!$D$12,"",F295+1))</f>
        <v/>
      </c>
      <c r="F296" s="55" t="str">
        <f>IF($B295="","",IF($B295+1&gt;dropdown!$D$12,"",EOMONTH(E296,0)))</f>
        <v/>
      </c>
      <c r="G296" s="56" t="str">
        <f>IF($B295="","",IF($B295+1&gt;dropdown!$D$12,"",(_xlfn.DAYS(F296,E296)+1)/DAY(F296)))</f>
        <v/>
      </c>
      <c r="H296" s="57"/>
      <c r="I296" s="58" t="str">
        <f>IF($B295="","",IF($B295+1&gt;dropdown!$D$12,"",I295-J295))</f>
        <v/>
      </c>
      <c r="J296" s="58" t="str">
        <f>IF($B295="","",IF($B295+1&gt;dropdown!$D$12,"",IF(B295&lt;dropdown!$D$13,0,IF(Aflossingsmethode="Lineair",Aflossingsbedrag,IF(Aflossingsmethode="Annuïteit",IFERROR(Bedrag_annuïteit-K296,0),0)))))</f>
        <v/>
      </c>
      <c r="K296" s="58" t="str">
        <f>IF($B295="","",IF($B295+1&gt;dropdown!$D$12,"",G296*I296*Rentekosten))</f>
        <v/>
      </c>
      <c r="L296" s="58" t="str">
        <f t="shared" si="42"/>
        <v/>
      </c>
      <c r="M296" s="58" t="str">
        <f t="shared" si="36"/>
        <v/>
      </c>
      <c r="N296" s="57"/>
      <c r="O296" s="60" t="str">
        <f t="shared" si="37"/>
        <v/>
      </c>
      <c r="P296" s="60" t="str">
        <f t="shared" si="38"/>
        <v/>
      </c>
      <c r="Q296" s="60" t="str">
        <f t="shared" si="43"/>
        <v/>
      </c>
      <c r="R296" s="57"/>
      <c r="S296" s="58" t="str">
        <f t="shared" si="39"/>
        <v/>
      </c>
      <c r="T296" s="58" t="str">
        <f t="shared" si="40"/>
        <v/>
      </c>
      <c r="U296" s="61" t="str">
        <f t="shared" si="44"/>
        <v/>
      </c>
      <c r="V296" s="58" t="str">
        <f t="shared" si="41"/>
        <v/>
      </c>
      <c r="W296" s="57"/>
    </row>
    <row r="297" spans="1:23" s="59" customFormat="1" x14ac:dyDescent="0.25">
      <c r="A297" s="53"/>
      <c r="B297" s="54" t="str">
        <f>IF($B296="","",IF($B296+1&gt;dropdown!$D$12,"",Schema!B296+1))</f>
        <v/>
      </c>
      <c r="C297" s="55" t="str">
        <f>IF($B296="","",IF($B296+1&gt;dropdown!$D$12,"",EOMONTH(C296,0)+1))</f>
        <v/>
      </c>
      <c r="D297" s="53"/>
      <c r="E297" s="55" t="str">
        <f>IF($B296="","",IF($B296+1&gt;dropdown!$D$12,"",F296+1))</f>
        <v/>
      </c>
      <c r="F297" s="55" t="str">
        <f>IF($B296="","",IF($B296+1&gt;dropdown!$D$12,"",EOMONTH(E297,0)))</f>
        <v/>
      </c>
      <c r="G297" s="56" t="str">
        <f>IF($B296="","",IF($B296+1&gt;dropdown!$D$12,"",(_xlfn.DAYS(F297,E297)+1)/DAY(F297)))</f>
        <v/>
      </c>
      <c r="H297" s="57"/>
      <c r="I297" s="58" t="str">
        <f>IF($B296="","",IF($B296+1&gt;dropdown!$D$12,"",I296-J296))</f>
        <v/>
      </c>
      <c r="J297" s="58" t="str">
        <f>IF($B296="","",IF($B296+1&gt;dropdown!$D$12,"",IF(B296&lt;dropdown!$D$13,0,IF(Aflossingsmethode="Lineair",Aflossingsbedrag,IF(Aflossingsmethode="Annuïteit",IFERROR(Bedrag_annuïteit-K297,0),0)))))</f>
        <v/>
      </c>
      <c r="K297" s="58" t="str">
        <f>IF($B296="","",IF($B296+1&gt;dropdown!$D$12,"",G297*I297*Rentekosten))</f>
        <v/>
      </c>
      <c r="L297" s="58" t="str">
        <f t="shared" si="42"/>
        <v/>
      </c>
      <c r="M297" s="58" t="str">
        <f t="shared" si="36"/>
        <v/>
      </c>
      <c r="N297" s="57"/>
      <c r="O297" s="60" t="str">
        <f t="shared" si="37"/>
        <v/>
      </c>
      <c r="P297" s="60" t="str">
        <f t="shared" si="38"/>
        <v/>
      </c>
      <c r="Q297" s="60" t="str">
        <f t="shared" si="43"/>
        <v/>
      </c>
      <c r="R297" s="57"/>
      <c r="S297" s="58" t="str">
        <f t="shared" si="39"/>
        <v/>
      </c>
      <c r="T297" s="58" t="str">
        <f t="shared" si="40"/>
        <v/>
      </c>
      <c r="U297" s="61" t="str">
        <f t="shared" si="44"/>
        <v/>
      </c>
      <c r="V297" s="58" t="str">
        <f t="shared" si="41"/>
        <v/>
      </c>
      <c r="W297" s="57"/>
    </row>
    <row r="298" spans="1:23" s="59" customFormat="1" x14ac:dyDescent="0.25">
      <c r="A298" s="53"/>
      <c r="B298" s="54" t="str">
        <f>IF($B297="","",IF($B297+1&gt;dropdown!$D$12,"",Schema!B297+1))</f>
        <v/>
      </c>
      <c r="C298" s="55" t="str">
        <f>IF($B297="","",IF($B297+1&gt;dropdown!$D$12,"",EOMONTH(C297,0)+1))</f>
        <v/>
      </c>
      <c r="D298" s="53"/>
      <c r="E298" s="55" t="str">
        <f>IF($B297="","",IF($B297+1&gt;dropdown!$D$12,"",F297+1))</f>
        <v/>
      </c>
      <c r="F298" s="55" t="str">
        <f>IF($B297="","",IF($B297+1&gt;dropdown!$D$12,"",EOMONTH(E298,0)))</f>
        <v/>
      </c>
      <c r="G298" s="56" t="str">
        <f>IF($B297="","",IF($B297+1&gt;dropdown!$D$12,"",(_xlfn.DAYS(F298,E298)+1)/DAY(F298)))</f>
        <v/>
      </c>
      <c r="H298" s="57"/>
      <c r="I298" s="58" t="str">
        <f>IF($B297="","",IF($B297+1&gt;dropdown!$D$12,"",I297-J297))</f>
        <v/>
      </c>
      <c r="J298" s="58" t="str">
        <f>IF($B297="","",IF($B297+1&gt;dropdown!$D$12,"",IF(B297&lt;dropdown!$D$13,0,IF(Aflossingsmethode="Lineair",Aflossingsbedrag,IF(Aflossingsmethode="Annuïteit",IFERROR(Bedrag_annuïteit-K298,0),0)))))</f>
        <v/>
      </c>
      <c r="K298" s="58" t="str">
        <f>IF($B297="","",IF($B297+1&gt;dropdown!$D$12,"",G298*I298*Rentekosten))</f>
        <v/>
      </c>
      <c r="L298" s="58" t="str">
        <f t="shared" si="42"/>
        <v/>
      </c>
      <c r="M298" s="58" t="str">
        <f t="shared" si="36"/>
        <v/>
      </c>
      <c r="N298" s="57"/>
      <c r="O298" s="60" t="str">
        <f t="shared" si="37"/>
        <v/>
      </c>
      <c r="P298" s="60" t="str">
        <f t="shared" si="38"/>
        <v/>
      </c>
      <c r="Q298" s="60" t="str">
        <f t="shared" si="43"/>
        <v/>
      </c>
      <c r="R298" s="57"/>
      <c r="S298" s="58" t="str">
        <f t="shared" si="39"/>
        <v/>
      </c>
      <c r="T298" s="58" t="str">
        <f t="shared" si="40"/>
        <v/>
      </c>
      <c r="U298" s="61" t="str">
        <f t="shared" si="44"/>
        <v/>
      </c>
      <c r="V298" s="58" t="str">
        <f t="shared" si="41"/>
        <v/>
      </c>
      <c r="W298" s="57"/>
    </row>
    <row r="299" spans="1:23" s="59" customFormat="1" x14ac:dyDescent="0.25">
      <c r="A299" s="53"/>
      <c r="B299" s="54" t="str">
        <f>IF($B298="","",IF($B298+1&gt;dropdown!$D$12,"",Schema!B298+1))</f>
        <v/>
      </c>
      <c r="C299" s="55" t="str">
        <f>IF($B298="","",IF($B298+1&gt;dropdown!$D$12,"",EOMONTH(C298,0)+1))</f>
        <v/>
      </c>
      <c r="D299" s="53"/>
      <c r="E299" s="55" t="str">
        <f>IF($B298="","",IF($B298+1&gt;dropdown!$D$12,"",F298+1))</f>
        <v/>
      </c>
      <c r="F299" s="55" t="str">
        <f>IF($B298="","",IF($B298+1&gt;dropdown!$D$12,"",EOMONTH(E299,0)))</f>
        <v/>
      </c>
      <c r="G299" s="56" t="str">
        <f>IF($B298="","",IF($B298+1&gt;dropdown!$D$12,"",(_xlfn.DAYS(F299,E299)+1)/DAY(F299)))</f>
        <v/>
      </c>
      <c r="H299" s="57"/>
      <c r="I299" s="58" t="str">
        <f>IF($B298="","",IF($B298+1&gt;dropdown!$D$12,"",I298-J298))</f>
        <v/>
      </c>
      <c r="J299" s="58" t="str">
        <f>IF($B298="","",IF($B298+1&gt;dropdown!$D$12,"",IF(B298&lt;dropdown!$D$13,0,IF(Aflossingsmethode="Lineair",Aflossingsbedrag,IF(Aflossingsmethode="Annuïteit",IFERROR(Bedrag_annuïteit-K299,0),0)))))</f>
        <v/>
      </c>
      <c r="K299" s="58" t="str">
        <f>IF($B298="","",IF($B298+1&gt;dropdown!$D$12,"",G299*I299*Rentekosten))</f>
        <v/>
      </c>
      <c r="L299" s="58" t="str">
        <f t="shared" si="42"/>
        <v/>
      </c>
      <c r="M299" s="58" t="str">
        <f t="shared" si="36"/>
        <v/>
      </c>
      <c r="N299" s="57"/>
      <c r="O299" s="60" t="str">
        <f t="shared" si="37"/>
        <v/>
      </c>
      <c r="P299" s="60" t="str">
        <f t="shared" si="38"/>
        <v/>
      </c>
      <c r="Q299" s="60" t="str">
        <f t="shared" si="43"/>
        <v/>
      </c>
      <c r="R299" s="57"/>
      <c r="S299" s="58" t="str">
        <f t="shared" si="39"/>
        <v/>
      </c>
      <c r="T299" s="58" t="str">
        <f t="shared" si="40"/>
        <v/>
      </c>
      <c r="U299" s="61" t="str">
        <f t="shared" si="44"/>
        <v/>
      </c>
      <c r="V299" s="58" t="str">
        <f t="shared" si="41"/>
        <v/>
      </c>
      <c r="W299" s="57"/>
    </row>
    <row r="300" spans="1:23" s="59" customFormat="1" x14ac:dyDescent="0.25">
      <c r="A300" s="53"/>
      <c r="B300" s="54" t="str">
        <f>IF($B299="","",IF($B299+1&gt;dropdown!$D$12,"",Schema!B299+1))</f>
        <v/>
      </c>
      <c r="C300" s="55" t="str">
        <f>IF($B299="","",IF($B299+1&gt;dropdown!$D$12,"",EOMONTH(C299,0)+1))</f>
        <v/>
      </c>
      <c r="D300" s="53"/>
      <c r="E300" s="55" t="str">
        <f>IF($B299="","",IF($B299+1&gt;dropdown!$D$12,"",F299+1))</f>
        <v/>
      </c>
      <c r="F300" s="55" t="str">
        <f>IF($B299="","",IF($B299+1&gt;dropdown!$D$12,"",EOMONTH(E300,0)))</f>
        <v/>
      </c>
      <c r="G300" s="56" t="str">
        <f>IF($B299="","",IF($B299+1&gt;dropdown!$D$12,"",(_xlfn.DAYS(F300,E300)+1)/DAY(F300)))</f>
        <v/>
      </c>
      <c r="H300" s="57"/>
      <c r="I300" s="58" t="str">
        <f>IF($B299="","",IF($B299+1&gt;dropdown!$D$12,"",I299-J299))</f>
        <v/>
      </c>
      <c r="J300" s="58" t="str">
        <f>IF($B299="","",IF($B299+1&gt;dropdown!$D$12,"",IF(B299&lt;dropdown!$D$13,0,IF(Aflossingsmethode="Lineair",Aflossingsbedrag,IF(Aflossingsmethode="Annuïteit",IFERROR(Bedrag_annuïteit-K300,0),0)))))</f>
        <v/>
      </c>
      <c r="K300" s="58" t="str">
        <f>IF($B299="","",IF($B299+1&gt;dropdown!$D$12,"",G300*I300*Rentekosten))</f>
        <v/>
      </c>
      <c r="L300" s="58" t="str">
        <f t="shared" si="42"/>
        <v/>
      </c>
      <c r="M300" s="58" t="str">
        <f t="shared" si="36"/>
        <v/>
      </c>
      <c r="N300" s="57"/>
      <c r="O300" s="60" t="str">
        <f t="shared" si="37"/>
        <v/>
      </c>
      <c r="P300" s="60" t="str">
        <f t="shared" si="38"/>
        <v/>
      </c>
      <c r="Q300" s="60" t="str">
        <f t="shared" si="43"/>
        <v/>
      </c>
      <c r="R300" s="57"/>
      <c r="S300" s="58" t="str">
        <f t="shared" si="39"/>
        <v/>
      </c>
      <c r="T300" s="58" t="str">
        <f t="shared" si="40"/>
        <v/>
      </c>
      <c r="U300" s="61" t="str">
        <f t="shared" si="44"/>
        <v/>
      </c>
      <c r="V300" s="58" t="str">
        <f t="shared" si="41"/>
        <v/>
      </c>
      <c r="W300" s="57"/>
    </row>
    <row r="301" spans="1:23" s="59" customFormat="1" x14ac:dyDescent="0.25">
      <c r="A301" s="53"/>
      <c r="B301" s="54" t="str">
        <f>IF($B300="","",IF($B300+1&gt;dropdown!$D$12,"",Schema!B300+1))</f>
        <v/>
      </c>
      <c r="C301" s="55" t="str">
        <f>IF($B300="","",IF($B300+1&gt;dropdown!$D$12,"",EOMONTH(C300,0)+1))</f>
        <v/>
      </c>
      <c r="D301" s="53"/>
      <c r="E301" s="55" t="str">
        <f>IF($B300="","",IF($B300+1&gt;dropdown!$D$12,"",F300+1))</f>
        <v/>
      </c>
      <c r="F301" s="55" t="str">
        <f>IF($B300="","",IF($B300+1&gt;dropdown!$D$12,"",EOMONTH(E301,0)))</f>
        <v/>
      </c>
      <c r="G301" s="56" t="str">
        <f>IF($B300="","",IF($B300+1&gt;dropdown!$D$12,"",(_xlfn.DAYS(F301,E301)+1)/DAY(F301)))</f>
        <v/>
      </c>
      <c r="H301" s="57"/>
      <c r="I301" s="58" t="str">
        <f>IF($B300="","",IF($B300+1&gt;dropdown!$D$12,"",I300-J300))</f>
        <v/>
      </c>
      <c r="J301" s="58" t="str">
        <f>IF($B300="","",IF($B300+1&gt;dropdown!$D$12,"",IF(B300&lt;dropdown!$D$13,0,IF(Aflossingsmethode="Lineair",Aflossingsbedrag,IF(Aflossingsmethode="Annuïteit",IFERROR(Bedrag_annuïteit-K301,0),0)))))</f>
        <v/>
      </c>
      <c r="K301" s="58" t="str">
        <f>IF($B300="","",IF($B300+1&gt;dropdown!$D$12,"",G301*I301*Rentekosten))</f>
        <v/>
      </c>
      <c r="L301" s="58" t="str">
        <f t="shared" si="42"/>
        <v/>
      </c>
      <c r="M301" s="58" t="str">
        <f t="shared" si="36"/>
        <v/>
      </c>
      <c r="N301" s="57"/>
      <c r="O301" s="60" t="str">
        <f t="shared" si="37"/>
        <v/>
      </c>
      <c r="P301" s="60" t="str">
        <f t="shared" si="38"/>
        <v/>
      </c>
      <c r="Q301" s="60" t="str">
        <f t="shared" si="43"/>
        <v/>
      </c>
      <c r="R301" s="57"/>
      <c r="S301" s="58" t="str">
        <f t="shared" si="39"/>
        <v/>
      </c>
      <c r="T301" s="58" t="str">
        <f t="shared" si="40"/>
        <v/>
      </c>
      <c r="U301" s="61" t="str">
        <f t="shared" si="44"/>
        <v/>
      </c>
      <c r="V301" s="58" t="str">
        <f t="shared" si="41"/>
        <v/>
      </c>
      <c r="W301" s="57"/>
    </row>
    <row r="302" spans="1:23" s="59" customFormat="1" x14ac:dyDescent="0.25">
      <c r="A302" s="53"/>
      <c r="B302" s="54" t="str">
        <f>IF($B301="","",IF($B301+1&gt;dropdown!$D$12,"",Schema!B301+1))</f>
        <v/>
      </c>
      <c r="C302" s="55" t="str">
        <f>IF($B301="","",IF($B301+1&gt;dropdown!$D$12,"",EOMONTH(C301,0)+1))</f>
        <v/>
      </c>
      <c r="D302" s="53"/>
      <c r="E302" s="55" t="str">
        <f>IF($B301="","",IF($B301+1&gt;dropdown!$D$12,"",F301+1))</f>
        <v/>
      </c>
      <c r="F302" s="55" t="str">
        <f>IF($B301="","",IF($B301+1&gt;dropdown!$D$12,"",EOMONTH(E302,0)))</f>
        <v/>
      </c>
      <c r="G302" s="56" t="str">
        <f>IF($B301="","",IF($B301+1&gt;dropdown!$D$12,"",(_xlfn.DAYS(F302,E302)+1)/DAY(F302)))</f>
        <v/>
      </c>
      <c r="H302" s="57"/>
      <c r="I302" s="58" t="str">
        <f>IF($B301="","",IF($B301+1&gt;dropdown!$D$12,"",I301-J301))</f>
        <v/>
      </c>
      <c r="J302" s="58" t="str">
        <f>IF($B301="","",IF($B301+1&gt;dropdown!$D$12,"",IF(B301&lt;dropdown!$D$13,0,IF(Aflossingsmethode="Lineair",Aflossingsbedrag,IF(Aflossingsmethode="Annuïteit",IFERROR(Bedrag_annuïteit-K302,0),0)))))</f>
        <v/>
      </c>
      <c r="K302" s="58" t="str">
        <f>IF($B301="","",IF($B301+1&gt;dropdown!$D$12,"",G302*I302*Rentekosten))</f>
        <v/>
      </c>
      <c r="L302" s="58" t="str">
        <f t="shared" si="42"/>
        <v/>
      </c>
      <c r="M302" s="58" t="str">
        <f t="shared" si="36"/>
        <v/>
      </c>
      <c r="N302" s="57"/>
      <c r="O302" s="60" t="str">
        <f t="shared" si="37"/>
        <v/>
      </c>
      <c r="P302" s="60" t="str">
        <f t="shared" si="38"/>
        <v/>
      </c>
      <c r="Q302" s="60" t="str">
        <f t="shared" si="43"/>
        <v/>
      </c>
      <c r="R302" s="57"/>
      <c r="S302" s="58" t="str">
        <f t="shared" si="39"/>
        <v/>
      </c>
      <c r="T302" s="58" t="str">
        <f t="shared" si="40"/>
        <v/>
      </c>
      <c r="U302" s="61" t="str">
        <f t="shared" si="44"/>
        <v/>
      </c>
      <c r="V302" s="58" t="str">
        <f t="shared" si="41"/>
        <v/>
      </c>
      <c r="W302" s="57"/>
    </row>
    <row r="303" spans="1:23" s="59" customFormat="1" x14ac:dyDescent="0.25">
      <c r="A303" s="53"/>
      <c r="B303" s="54" t="str">
        <f>IF($B302="","",IF($B302+1&gt;dropdown!$D$12,"",Schema!B302+1))</f>
        <v/>
      </c>
      <c r="C303" s="55" t="str">
        <f>IF($B302="","",IF($B302+1&gt;dropdown!$D$12,"",EOMONTH(C302,0)+1))</f>
        <v/>
      </c>
      <c r="D303" s="53"/>
      <c r="E303" s="55" t="str">
        <f>IF($B302="","",IF($B302+1&gt;dropdown!$D$12,"",F302+1))</f>
        <v/>
      </c>
      <c r="F303" s="55" t="str">
        <f>IF($B302="","",IF($B302+1&gt;dropdown!$D$12,"",EOMONTH(E303,0)))</f>
        <v/>
      </c>
      <c r="G303" s="56" t="str">
        <f>IF($B302="","",IF($B302+1&gt;dropdown!$D$12,"",(_xlfn.DAYS(F303,E303)+1)/DAY(F303)))</f>
        <v/>
      </c>
      <c r="H303" s="57"/>
      <c r="I303" s="58" t="str">
        <f>IF($B302="","",IF($B302+1&gt;dropdown!$D$12,"",I302-J302))</f>
        <v/>
      </c>
      <c r="J303" s="58" t="str">
        <f>IF($B302="","",IF($B302+1&gt;dropdown!$D$12,"",IF(B302&lt;dropdown!$D$13,0,IF(Aflossingsmethode="Lineair",Aflossingsbedrag,IF(Aflossingsmethode="Annuïteit",IFERROR(Bedrag_annuïteit-K303,0),0)))))</f>
        <v/>
      </c>
      <c r="K303" s="58" t="str">
        <f>IF($B302="","",IF($B302+1&gt;dropdown!$D$12,"",G303*I303*Rentekosten))</f>
        <v/>
      </c>
      <c r="L303" s="58" t="str">
        <f t="shared" si="42"/>
        <v/>
      </c>
      <c r="M303" s="58" t="str">
        <f t="shared" si="36"/>
        <v/>
      </c>
      <c r="N303" s="57"/>
      <c r="O303" s="60" t="str">
        <f t="shared" si="37"/>
        <v/>
      </c>
      <c r="P303" s="60" t="str">
        <f t="shared" si="38"/>
        <v/>
      </c>
      <c r="Q303" s="60" t="str">
        <f t="shared" si="43"/>
        <v/>
      </c>
      <c r="R303" s="57"/>
      <c r="S303" s="58" t="str">
        <f t="shared" si="39"/>
        <v/>
      </c>
      <c r="T303" s="58" t="str">
        <f t="shared" si="40"/>
        <v/>
      </c>
      <c r="U303" s="61" t="str">
        <f t="shared" si="44"/>
        <v/>
      </c>
      <c r="V303" s="58" t="str">
        <f t="shared" si="41"/>
        <v/>
      </c>
      <c r="W303" s="57"/>
    </row>
    <row r="304" spans="1:23" s="59" customFormat="1" x14ac:dyDescent="0.25">
      <c r="A304" s="53"/>
      <c r="B304" s="54" t="str">
        <f>IF($B303="","",IF($B303+1&gt;dropdown!$D$12,"",Schema!B303+1))</f>
        <v/>
      </c>
      <c r="C304" s="55" t="str">
        <f>IF($B303="","",IF($B303+1&gt;dropdown!$D$12,"",EOMONTH(C303,0)+1))</f>
        <v/>
      </c>
      <c r="D304" s="53"/>
      <c r="E304" s="55" t="str">
        <f>IF($B303="","",IF($B303+1&gt;dropdown!$D$12,"",F303+1))</f>
        <v/>
      </c>
      <c r="F304" s="55" t="str">
        <f>IF($B303="","",IF($B303+1&gt;dropdown!$D$12,"",EOMONTH(E304,0)))</f>
        <v/>
      </c>
      <c r="G304" s="56" t="str">
        <f>IF($B303="","",IF($B303+1&gt;dropdown!$D$12,"",(_xlfn.DAYS(F304,E304)+1)/DAY(F304)))</f>
        <v/>
      </c>
      <c r="H304" s="57"/>
      <c r="I304" s="58" t="str">
        <f>IF($B303="","",IF($B303+1&gt;dropdown!$D$12,"",I303-J303))</f>
        <v/>
      </c>
      <c r="J304" s="58" t="str">
        <f>IF($B303="","",IF($B303+1&gt;dropdown!$D$12,"",IF(B303&lt;dropdown!$D$13,0,IF(Aflossingsmethode="Lineair",Aflossingsbedrag,IF(Aflossingsmethode="Annuïteit",IFERROR(Bedrag_annuïteit-K304,0),0)))))</f>
        <v/>
      </c>
      <c r="K304" s="58" t="str">
        <f>IF($B303="","",IF($B303+1&gt;dropdown!$D$12,"",G304*I304*Rentekosten))</f>
        <v/>
      </c>
      <c r="L304" s="58" t="str">
        <f t="shared" si="42"/>
        <v/>
      </c>
      <c r="M304" s="58" t="str">
        <f t="shared" si="36"/>
        <v/>
      </c>
      <c r="N304" s="57"/>
      <c r="O304" s="60" t="str">
        <f t="shared" si="37"/>
        <v/>
      </c>
      <c r="P304" s="60" t="str">
        <f t="shared" si="38"/>
        <v/>
      </c>
      <c r="Q304" s="60" t="str">
        <f t="shared" si="43"/>
        <v/>
      </c>
      <c r="R304" s="57"/>
      <c r="S304" s="58" t="str">
        <f t="shared" si="39"/>
        <v/>
      </c>
      <c r="T304" s="58" t="str">
        <f t="shared" si="40"/>
        <v/>
      </c>
      <c r="U304" s="61" t="str">
        <f t="shared" si="44"/>
        <v/>
      </c>
      <c r="V304" s="58" t="str">
        <f t="shared" si="41"/>
        <v/>
      </c>
      <c r="W304" s="57"/>
    </row>
    <row r="305" spans="1:23" s="59" customFormat="1" x14ac:dyDescent="0.25">
      <c r="A305" s="53"/>
      <c r="B305" s="54" t="str">
        <f>IF($B304="","",IF($B304+1&gt;dropdown!$D$12,"",Schema!B304+1))</f>
        <v/>
      </c>
      <c r="C305" s="55" t="str">
        <f>IF($B304="","",IF($B304+1&gt;dropdown!$D$12,"",EOMONTH(C304,0)+1))</f>
        <v/>
      </c>
      <c r="D305" s="53"/>
      <c r="E305" s="55" t="str">
        <f>IF($B304="","",IF($B304+1&gt;dropdown!$D$12,"",F304+1))</f>
        <v/>
      </c>
      <c r="F305" s="55" t="str">
        <f>IF($B304="","",IF($B304+1&gt;dropdown!$D$12,"",EOMONTH(E305,0)))</f>
        <v/>
      </c>
      <c r="G305" s="56" t="str">
        <f>IF($B304="","",IF($B304+1&gt;dropdown!$D$12,"",(_xlfn.DAYS(F305,E305)+1)/DAY(F305)))</f>
        <v/>
      </c>
      <c r="H305" s="57"/>
      <c r="I305" s="58" t="str">
        <f>IF($B304="","",IF($B304+1&gt;dropdown!$D$12,"",I304-J304))</f>
        <v/>
      </c>
      <c r="J305" s="58" t="str">
        <f>IF($B304="","",IF($B304+1&gt;dropdown!$D$12,"",IF(B304&lt;dropdown!$D$13,0,IF(Aflossingsmethode="Lineair",Aflossingsbedrag,IF(Aflossingsmethode="Annuïteit",IFERROR(Bedrag_annuïteit-K305,0),0)))))</f>
        <v/>
      </c>
      <c r="K305" s="58" t="str">
        <f>IF($B304="","",IF($B304+1&gt;dropdown!$D$12,"",G305*I305*Rentekosten))</f>
        <v/>
      </c>
      <c r="L305" s="58" t="str">
        <f t="shared" si="42"/>
        <v/>
      </c>
      <c r="M305" s="58" t="str">
        <f t="shared" si="36"/>
        <v/>
      </c>
      <c r="N305" s="57"/>
      <c r="O305" s="60" t="str">
        <f t="shared" si="37"/>
        <v/>
      </c>
      <c r="P305" s="60" t="str">
        <f t="shared" si="38"/>
        <v/>
      </c>
      <c r="Q305" s="60" t="str">
        <f t="shared" si="43"/>
        <v/>
      </c>
      <c r="R305" s="57"/>
      <c r="S305" s="58" t="str">
        <f t="shared" si="39"/>
        <v/>
      </c>
      <c r="T305" s="58" t="str">
        <f t="shared" si="40"/>
        <v/>
      </c>
      <c r="U305" s="61" t="str">
        <f t="shared" si="44"/>
        <v/>
      </c>
      <c r="V305" s="58" t="str">
        <f t="shared" si="41"/>
        <v/>
      </c>
      <c r="W305" s="57"/>
    </row>
    <row r="306" spans="1:23" s="59" customFormat="1" x14ac:dyDescent="0.25">
      <c r="A306" s="53"/>
      <c r="B306" s="54" t="str">
        <f>IF($B305="","",IF($B305+1&gt;dropdown!$D$12,"",Schema!B305+1))</f>
        <v/>
      </c>
      <c r="C306" s="55" t="str">
        <f>IF($B305="","",IF($B305+1&gt;dropdown!$D$12,"",EOMONTH(C305,0)+1))</f>
        <v/>
      </c>
      <c r="D306" s="53"/>
      <c r="E306" s="55" t="str">
        <f>IF($B305="","",IF($B305+1&gt;dropdown!$D$12,"",F305+1))</f>
        <v/>
      </c>
      <c r="F306" s="55" t="str">
        <f>IF($B305="","",IF($B305+1&gt;dropdown!$D$12,"",EOMONTH(E306,0)))</f>
        <v/>
      </c>
      <c r="G306" s="56" t="str">
        <f>IF($B305="","",IF($B305+1&gt;dropdown!$D$12,"",(_xlfn.DAYS(F306,E306)+1)/DAY(F306)))</f>
        <v/>
      </c>
      <c r="H306" s="57"/>
      <c r="I306" s="58" t="str">
        <f>IF($B305="","",IF($B305+1&gt;dropdown!$D$12,"",I305-J305))</f>
        <v/>
      </c>
      <c r="J306" s="58" t="str">
        <f>IF($B305="","",IF($B305+1&gt;dropdown!$D$12,"",IF(B305&lt;dropdown!$D$13,0,IF(Aflossingsmethode="Lineair",Aflossingsbedrag,IF(Aflossingsmethode="Annuïteit",IFERROR(Bedrag_annuïteit-K306,0),0)))))</f>
        <v/>
      </c>
      <c r="K306" s="58" t="str">
        <f>IF($B305="","",IF($B305+1&gt;dropdown!$D$12,"",G306*I306*Rentekosten))</f>
        <v/>
      </c>
      <c r="L306" s="58" t="str">
        <f t="shared" si="42"/>
        <v/>
      </c>
      <c r="M306" s="58" t="str">
        <f t="shared" si="36"/>
        <v/>
      </c>
      <c r="N306" s="57"/>
      <c r="O306" s="60" t="str">
        <f t="shared" si="37"/>
        <v/>
      </c>
      <c r="P306" s="60" t="str">
        <f t="shared" si="38"/>
        <v/>
      </c>
      <c r="Q306" s="60" t="str">
        <f t="shared" si="43"/>
        <v/>
      </c>
      <c r="R306" s="57"/>
      <c r="S306" s="58" t="str">
        <f t="shared" si="39"/>
        <v/>
      </c>
      <c r="T306" s="58" t="str">
        <f t="shared" si="40"/>
        <v/>
      </c>
      <c r="U306" s="61" t="str">
        <f t="shared" si="44"/>
        <v/>
      </c>
      <c r="V306" s="58" t="str">
        <f t="shared" si="41"/>
        <v/>
      </c>
      <c r="W306" s="57"/>
    </row>
    <row r="307" spans="1:23" s="59" customFormat="1" x14ac:dyDescent="0.25">
      <c r="A307" s="53"/>
      <c r="B307" s="54" t="str">
        <f>IF($B306="","",IF($B306+1&gt;dropdown!$D$12,"",Schema!B306+1))</f>
        <v/>
      </c>
      <c r="C307" s="55" t="str">
        <f>IF($B306="","",IF($B306+1&gt;dropdown!$D$12,"",EOMONTH(C306,0)+1))</f>
        <v/>
      </c>
      <c r="D307" s="53"/>
      <c r="E307" s="55" t="str">
        <f>IF($B306="","",IF($B306+1&gt;dropdown!$D$12,"",F306+1))</f>
        <v/>
      </c>
      <c r="F307" s="55" t="str">
        <f>IF($B306="","",IF($B306+1&gt;dropdown!$D$12,"",EOMONTH(E307,0)))</f>
        <v/>
      </c>
      <c r="G307" s="56" t="str">
        <f>IF($B306="","",IF($B306+1&gt;dropdown!$D$12,"",(_xlfn.DAYS(F307,E307)+1)/DAY(F307)))</f>
        <v/>
      </c>
      <c r="H307" s="57"/>
      <c r="I307" s="58" t="str">
        <f>IF($B306="","",IF($B306+1&gt;dropdown!$D$12,"",I306-J306))</f>
        <v/>
      </c>
      <c r="J307" s="58" t="str">
        <f>IF($B306="","",IF($B306+1&gt;dropdown!$D$12,"",IF(B306&lt;dropdown!$D$13,0,IF(Aflossingsmethode="Lineair",Aflossingsbedrag,IF(Aflossingsmethode="Annuïteit",IFERROR(Bedrag_annuïteit-K307,0),0)))))</f>
        <v/>
      </c>
      <c r="K307" s="58" t="str">
        <f>IF($B306="","",IF($B306+1&gt;dropdown!$D$12,"",G307*I307*Rentekosten))</f>
        <v/>
      </c>
      <c r="L307" s="58" t="str">
        <f t="shared" si="42"/>
        <v/>
      </c>
      <c r="M307" s="58" t="str">
        <f t="shared" si="36"/>
        <v/>
      </c>
      <c r="N307" s="57"/>
      <c r="O307" s="60" t="str">
        <f t="shared" si="37"/>
        <v/>
      </c>
      <c r="P307" s="60" t="str">
        <f t="shared" si="38"/>
        <v/>
      </c>
      <c r="Q307" s="60" t="str">
        <f t="shared" si="43"/>
        <v/>
      </c>
      <c r="R307" s="57"/>
      <c r="S307" s="58" t="str">
        <f t="shared" si="39"/>
        <v/>
      </c>
      <c r="T307" s="58" t="str">
        <f t="shared" si="40"/>
        <v/>
      </c>
      <c r="U307" s="61" t="str">
        <f t="shared" si="44"/>
        <v/>
      </c>
      <c r="V307" s="58" t="str">
        <f t="shared" si="41"/>
        <v/>
      </c>
      <c r="W307" s="57"/>
    </row>
    <row r="308" spans="1:23" s="59" customFormat="1" x14ac:dyDescent="0.25">
      <c r="A308" s="53"/>
      <c r="B308" s="54" t="str">
        <f>IF($B307="","",IF($B307+1&gt;dropdown!$D$12,"",Schema!B307+1))</f>
        <v/>
      </c>
      <c r="C308" s="55" t="str">
        <f>IF($B307="","",IF($B307+1&gt;dropdown!$D$12,"",EOMONTH(C307,0)+1))</f>
        <v/>
      </c>
      <c r="D308" s="53"/>
      <c r="E308" s="55" t="str">
        <f>IF($B307="","",IF($B307+1&gt;dropdown!$D$12,"",F307+1))</f>
        <v/>
      </c>
      <c r="F308" s="55" t="str">
        <f>IF($B307="","",IF($B307+1&gt;dropdown!$D$12,"",EOMONTH(E308,0)))</f>
        <v/>
      </c>
      <c r="G308" s="56" t="str">
        <f>IF($B307="","",IF($B307+1&gt;dropdown!$D$12,"",(_xlfn.DAYS(F308,E308)+1)/DAY(F308)))</f>
        <v/>
      </c>
      <c r="H308" s="57"/>
      <c r="I308" s="58" t="str">
        <f>IF($B307="","",IF($B307+1&gt;dropdown!$D$12,"",I307-J307))</f>
        <v/>
      </c>
      <c r="J308" s="58" t="str">
        <f>IF($B307="","",IF($B307+1&gt;dropdown!$D$12,"",IF(B307&lt;dropdown!$D$13,0,IF(Aflossingsmethode="Lineair",Aflossingsbedrag,IF(Aflossingsmethode="Annuïteit",IFERROR(Bedrag_annuïteit-K308,0),0)))))</f>
        <v/>
      </c>
      <c r="K308" s="58" t="str">
        <f>IF($B307="","",IF($B307+1&gt;dropdown!$D$12,"",G308*I308*Rentekosten))</f>
        <v/>
      </c>
      <c r="L308" s="58" t="str">
        <f t="shared" si="42"/>
        <v/>
      </c>
      <c r="M308" s="58" t="str">
        <f t="shared" si="36"/>
        <v/>
      </c>
      <c r="N308" s="57"/>
      <c r="O308" s="60" t="str">
        <f t="shared" si="37"/>
        <v/>
      </c>
      <c r="P308" s="60" t="str">
        <f t="shared" si="38"/>
        <v/>
      </c>
      <c r="Q308" s="60" t="str">
        <f t="shared" si="43"/>
        <v/>
      </c>
      <c r="R308" s="57"/>
      <c r="S308" s="58" t="str">
        <f t="shared" si="39"/>
        <v/>
      </c>
      <c r="T308" s="58" t="str">
        <f t="shared" si="40"/>
        <v/>
      </c>
      <c r="U308" s="61" t="str">
        <f t="shared" si="44"/>
        <v/>
      </c>
      <c r="V308" s="58" t="str">
        <f t="shared" si="41"/>
        <v/>
      </c>
      <c r="W308" s="57"/>
    </row>
    <row r="309" spans="1:23" s="59" customFormat="1" x14ac:dyDescent="0.25">
      <c r="A309" s="53"/>
      <c r="B309" s="54" t="str">
        <f>IF($B308="","",IF($B308+1&gt;dropdown!$D$12,"",Schema!B308+1))</f>
        <v/>
      </c>
      <c r="C309" s="55" t="str">
        <f>IF($B308="","",IF($B308+1&gt;dropdown!$D$12,"",EOMONTH(C308,0)+1))</f>
        <v/>
      </c>
      <c r="D309" s="53"/>
      <c r="E309" s="55" t="str">
        <f>IF($B308="","",IF($B308+1&gt;dropdown!$D$12,"",F308+1))</f>
        <v/>
      </c>
      <c r="F309" s="55" t="str">
        <f>IF($B308="","",IF($B308+1&gt;dropdown!$D$12,"",EOMONTH(E309,0)))</f>
        <v/>
      </c>
      <c r="G309" s="56" t="str">
        <f>IF($B308="","",IF($B308+1&gt;dropdown!$D$12,"",(_xlfn.DAYS(F309,E309)+1)/DAY(F309)))</f>
        <v/>
      </c>
      <c r="H309" s="57"/>
      <c r="I309" s="58" t="str">
        <f>IF($B308="","",IF($B308+1&gt;dropdown!$D$12,"",I308-J308))</f>
        <v/>
      </c>
      <c r="J309" s="58" t="str">
        <f>IF($B308="","",IF($B308+1&gt;dropdown!$D$12,"",IF(B308&lt;dropdown!$D$13,0,IF(Aflossingsmethode="Lineair",Aflossingsbedrag,IF(Aflossingsmethode="Annuïteit",IFERROR(Bedrag_annuïteit-K309,0),0)))))</f>
        <v/>
      </c>
      <c r="K309" s="58" t="str">
        <f>IF($B308="","",IF($B308+1&gt;dropdown!$D$12,"",G309*I309*Rentekosten))</f>
        <v/>
      </c>
      <c r="L309" s="58" t="str">
        <f t="shared" si="42"/>
        <v/>
      </c>
      <c r="M309" s="58" t="str">
        <f t="shared" si="36"/>
        <v/>
      </c>
      <c r="N309" s="57"/>
      <c r="O309" s="60" t="str">
        <f t="shared" si="37"/>
        <v/>
      </c>
      <c r="P309" s="60" t="str">
        <f t="shared" si="38"/>
        <v/>
      </c>
      <c r="Q309" s="60" t="str">
        <f t="shared" si="43"/>
        <v/>
      </c>
      <c r="R309" s="57"/>
      <c r="S309" s="58" t="str">
        <f t="shared" si="39"/>
        <v/>
      </c>
      <c r="T309" s="58" t="str">
        <f t="shared" si="40"/>
        <v/>
      </c>
      <c r="U309" s="61" t="str">
        <f t="shared" si="44"/>
        <v/>
      </c>
      <c r="V309" s="58" t="str">
        <f t="shared" si="41"/>
        <v/>
      </c>
      <c r="W309" s="57"/>
    </row>
    <row r="310" spans="1:23" s="59" customFormat="1" x14ac:dyDescent="0.25">
      <c r="A310" s="53"/>
      <c r="B310" s="54" t="str">
        <f>IF($B309="","",IF($B309+1&gt;dropdown!$D$12,"",Schema!B309+1))</f>
        <v/>
      </c>
      <c r="C310" s="55" t="str">
        <f>IF($B309="","",IF($B309+1&gt;dropdown!$D$12,"",EOMONTH(C309,0)+1))</f>
        <v/>
      </c>
      <c r="D310" s="53"/>
      <c r="E310" s="55" t="str">
        <f>IF($B309="","",IF($B309+1&gt;dropdown!$D$12,"",F309+1))</f>
        <v/>
      </c>
      <c r="F310" s="55" t="str">
        <f>IF($B309="","",IF($B309+1&gt;dropdown!$D$12,"",EOMONTH(E310,0)))</f>
        <v/>
      </c>
      <c r="G310" s="56" t="str">
        <f>IF($B309="","",IF($B309+1&gt;dropdown!$D$12,"",(_xlfn.DAYS(F310,E310)+1)/DAY(F310)))</f>
        <v/>
      </c>
      <c r="H310" s="57"/>
      <c r="I310" s="58" t="str">
        <f>IF($B309="","",IF($B309+1&gt;dropdown!$D$12,"",I309-J309))</f>
        <v/>
      </c>
      <c r="J310" s="58" t="str">
        <f>IF($B309="","",IF($B309+1&gt;dropdown!$D$12,"",IF(B309&lt;dropdown!$D$13,0,IF(Aflossingsmethode="Lineair",Aflossingsbedrag,IF(Aflossingsmethode="Annuïteit",IFERROR(Bedrag_annuïteit-K310,0),0)))))</f>
        <v/>
      </c>
      <c r="K310" s="58" t="str">
        <f>IF($B309="","",IF($B309+1&gt;dropdown!$D$12,"",G310*I310*Rentekosten))</f>
        <v/>
      </c>
      <c r="L310" s="58" t="str">
        <f t="shared" si="42"/>
        <v/>
      </c>
      <c r="M310" s="58" t="str">
        <f t="shared" si="36"/>
        <v/>
      </c>
      <c r="N310" s="57"/>
      <c r="O310" s="60" t="str">
        <f t="shared" si="37"/>
        <v/>
      </c>
      <c r="P310" s="60" t="str">
        <f t="shared" si="38"/>
        <v/>
      </c>
      <c r="Q310" s="60" t="str">
        <f t="shared" si="43"/>
        <v/>
      </c>
      <c r="R310" s="57"/>
      <c r="S310" s="58" t="str">
        <f t="shared" si="39"/>
        <v/>
      </c>
      <c r="T310" s="58" t="str">
        <f t="shared" si="40"/>
        <v/>
      </c>
      <c r="U310" s="61" t="str">
        <f t="shared" si="44"/>
        <v/>
      </c>
      <c r="V310" s="58" t="str">
        <f t="shared" si="41"/>
        <v/>
      </c>
      <c r="W310" s="57"/>
    </row>
    <row r="311" spans="1:23" s="59" customFormat="1" x14ac:dyDescent="0.25">
      <c r="A311" s="53"/>
      <c r="B311" s="54" t="str">
        <f>IF($B310="","",IF($B310+1&gt;dropdown!$D$12,"",Schema!B310+1))</f>
        <v/>
      </c>
      <c r="C311" s="55" t="str">
        <f>IF($B310="","",IF($B310+1&gt;dropdown!$D$12,"",EOMONTH(C310,0)+1))</f>
        <v/>
      </c>
      <c r="D311" s="53"/>
      <c r="E311" s="55" t="str">
        <f>IF($B310="","",IF($B310+1&gt;dropdown!$D$12,"",F310+1))</f>
        <v/>
      </c>
      <c r="F311" s="55" t="str">
        <f>IF($B310="","",IF($B310+1&gt;dropdown!$D$12,"",EOMONTH(E311,0)))</f>
        <v/>
      </c>
      <c r="G311" s="56" t="str">
        <f>IF($B310="","",IF($B310+1&gt;dropdown!$D$12,"",(_xlfn.DAYS(F311,E311)+1)/DAY(F311)))</f>
        <v/>
      </c>
      <c r="H311" s="57"/>
      <c r="I311" s="58" t="str">
        <f>IF($B310="","",IF($B310+1&gt;dropdown!$D$12,"",I310-J310))</f>
        <v/>
      </c>
      <c r="J311" s="58" t="str">
        <f>IF($B310="","",IF($B310+1&gt;dropdown!$D$12,"",IF(B310&lt;dropdown!$D$13,0,IF(Aflossingsmethode="Lineair",Aflossingsbedrag,IF(Aflossingsmethode="Annuïteit",IFERROR(Bedrag_annuïteit-K311,0),0)))))</f>
        <v/>
      </c>
      <c r="K311" s="58" t="str">
        <f>IF($B310="","",IF($B310+1&gt;dropdown!$D$12,"",G311*I311*Rentekosten))</f>
        <v/>
      </c>
      <c r="L311" s="58" t="str">
        <f t="shared" si="42"/>
        <v/>
      </c>
      <c r="M311" s="58" t="str">
        <f t="shared" si="36"/>
        <v/>
      </c>
      <c r="N311" s="57"/>
      <c r="O311" s="60" t="str">
        <f t="shared" si="37"/>
        <v/>
      </c>
      <c r="P311" s="60" t="str">
        <f t="shared" si="38"/>
        <v/>
      </c>
      <c r="Q311" s="60" t="str">
        <f t="shared" si="43"/>
        <v/>
      </c>
      <c r="R311" s="57"/>
      <c r="S311" s="58" t="str">
        <f t="shared" si="39"/>
        <v/>
      </c>
      <c r="T311" s="58" t="str">
        <f t="shared" si="40"/>
        <v/>
      </c>
      <c r="U311" s="61" t="str">
        <f t="shared" si="44"/>
        <v/>
      </c>
      <c r="V311" s="58" t="str">
        <f t="shared" si="41"/>
        <v/>
      </c>
      <c r="W311" s="57"/>
    </row>
    <row r="312" spans="1:23" s="59" customFormat="1" x14ac:dyDescent="0.25">
      <c r="A312" s="53"/>
      <c r="B312" s="54" t="str">
        <f>IF($B311="","",IF($B311+1&gt;dropdown!$D$12,"",Schema!B311+1))</f>
        <v/>
      </c>
      <c r="C312" s="55" t="str">
        <f>IF($B311="","",IF($B311+1&gt;dropdown!$D$12,"",EOMONTH(C311,0)+1))</f>
        <v/>
      </c>
      <c r="D312" s="53"/>
      <c r="E312" s="55" t="str">
        <f>IF($B311="","",IF($B311+1&gt;dropdown!$D$12,"",F311+1))</f>
        <v/>
      </c>
      <c r="F312" s="55" t="str">
        <f>IF($B311="","",IF($B311+1&gt;dropdown!$D$12,"",EOMONTH(E312,0)))</f>
        <v/>
      </c>
      <c r="G312" s="56" t="str">
        <f>IF($B311="","",IF($B311+1&gt;dropdown!$D$12,"",(_xlfn.DAYS(F312,E312)+1)/DAY(F312)))</f>
        <v/>
      </c>
      <c r="H312" s="57"/>
      <c r="I312" s="58" t="str">
        <f>IF($B311="","",IF($B311+1&gt;dropdown!$D$12,"",I311-J311))</f>
        <v/>
      </c>
      <c r="J312" s="58" t="str">
        <f>IF($B311="","",IF($B311+1&gt;dropdown!$D$12,"",IF(B311&lt;dropdown!$D$13,0,IF(Aflossingsmethode="Lineair",Aflossingsbedrag,IF(Aflossingsmethode="Annuïteit",IFERROR(Bedrag_annuïteit-K312,0),0)))))</f>
        <v/>
      </c>
      <c r="K312" s="58" t="str">
        <f>IF($B311="","",IF($B311+1&gt;dropdown!$D$12,"",G312*I312*Rentekosten))</f>
        <v/>
      </c>
      <c r="L312" s="58" t="str">
        <f t="shared" si="42"/>
        <v/>
      </c>
      <c r="M312" s="58" t="str">
        <f t="shared" si="36"/>
        <v/>
      </c>
      <c r="N312" s="57"/>
      <c r="O312" s="60" t="str">
        <f t="shared" si="37"/>
        <v/>
      </c>
      <c r="P312" s="60" t="str">
        <f t="shared" si="38"/>
        <v/>
      </c>
      <c r="Q312" s="60" t="str">
        <f t="shared" si="43"/>
        <v/>
      </c>
      <c r="R312" s="57"/>
      <c r="S312" s="58" t="str">
        <f t="shared" si="39"/>
        <v/>
      </c>
      <c r="T312" s="58" t="str">
        <f t="shared" si="40"/>
        <v/>
      </c>
      <c r="U312" s="61" t="str">
        <f t="shared" si="44"/>
        <v/>
      </c>
      <c r="V312" s="58" t="str">
        <f t="shared" si="41"/>
        <v/>
      </c>
      <c r="W312" s="57"/>
    </row>
    <row r="313" spans="1:23" s="59" customFormat="1" x14ac:dyDescent="0.25">
      <c r="A313" s="53"/>
      <c r="B313" s="54" t="str">
        <f>IF($B312="","",IF($B312+1&gt;dropdown!$D$12,"",Schema!B312+1))</f>
        <v/>
      </c>
      <c r="C313" s="55" t="str">
        <f>IF($B312="","",IF($B312+1&gt;dropdown!$D$12,"",EOMONTH(C312,0)+1))</f>
        <v/>
      </c>
      <c r="D313" s="53"/>
      <c r="E313" s="55" t="str">
        <f>IF($B312="","",IF($B312+1&gt;dropdown!$D$12,"",F312+1))</f>
        <v/>
      </c>
      <c r="F313" s="55" t="str">
        <f>IF($B312="","",IF($B312+1&gt;dropdown!$D$12,"",EOMONTH(E313,0)))</f>
        <v/>
      </c>
      <c r="G313" s="56" t="str">
        <f>IF($B312="","",IF($B312+1&gt;dropdown!$D$12,"",(_xlfn.DAYS(F313,E313)+1)/DAY(F313)))</f>
        <v/>
      </c>
      <c r="H313" s="57"/>
      <c r="I313" s="58" t="str">
        <f>IF($B312="","",IF($B312+1&gt;dropdown!$D$12,"",I312-J312))</f>
        <v/>
      </c>
      <c r="J313" s="58" t="str">
        <f>IF($B312="","",IF($B312+1&gt;dropdown!$D$12,"",IF(B312&lt;dropdown!$D$13,0,IF(Aflossingsmethode="Lineair",Aflossingsbedrag,IF(Aflossingsmethode="Annuïteit",IFERROR(Bedrag_annuïteit-K313,0),0)))))</f>
        <v/>
      </c>
      <c r="K313" s="58" t="str">
        <f>IF($B312="","",IF($B312+1&gt;dropdown!$D$12,"",G313*I313*Rentekosten))</f>
        <v/>
      </c>
      <c r="L313" s="58" t="str">
        <f t="shared" si="42"/>
        <v/>
      </c>
      <c r="M313" s="58" t="str">
        <f t="shared" si="36"/>
        <v/>
      </c>
      <c r="N313" s="57"/>
      <c r="O313" s="60" t="str">
        <f t="shared" si="37"/>
        <v/>
      </c>
      <c r="P313" s="60" t="str">
        <f t="shared" si="38"/>
        <v/>
      </c>
      <c r="Q313" s="60" t="str">
        <f t="shared" si="43"/>
        <v/>
      </c>
      <c r="R313" s="57"/>
      <c r="S313" s="58" t="str">
        <f t="shared" si="39"/>
        <v/>
      </c>
      <c r="T313" s="58" t="str">
        <f t="shared" si="40"/>
        <v/>
      </c>
      <c r="U313" s="61" t="str">
        <f t="shared" si="44"/>
        <v/>
      </c>
      <c r="V313" s="58" t="str">
        <f t="shared" si="41"/>
        <v/>
      </c>
      <c r="W313" s="57"/>
    </row>
    <row r="314" spans="1:23" s="59" customFormat="1" x14ac:dyDescent="0.25">
      <c r="A314" s="53"/>
      <c r="B314" s="54" t="str">
        <f>IF($B313="","",IF($B313+1&gt;dropdown!$D$12,"",Schema!B313+1))</f>
        <v/>
      </c>
      <c r="C314" s="55" t="str">
        <f>IF($B313="","",IF($B313+1&gt;dropdown!$D$12,"",EOMONTH(C313,0)+1))</f>
        <v/>
      </c>
      <c r="D314" s="53"/>
      <c r="E314" s="55" t="str">
        <f>IF($B313="","",IF($B313+1&gt;dropdown!$D$12,"",F313+1))</f>
        <v/>
      </c>
      <c r="F314" s="55" t="str">
        <f>IF($B313="","",IF($B313+1&gt;dropdown!$D$12,"",EOMONTH(E314,0)))</f>
        <v/>
      </c>
      <c r="G314" s="56" t="str">
        <f>IF($B313="","",IF($B313+1&gt;dropdown!$D$12,"",(_xlfn.DAYS(F314,E314)+1)/DAY(F314)))</f>
        <v/>
      </c>
      <c r="H314" s="57"/>
      <c r="I314" s="58" t="str">
        <f>IF($B313="","",IF($B313+1&gt;dropdown!$D$12,"",I313-J313))</f>
        <v/>
      </c>
      <c r="J314" s="58" t="str">
        <f>IF($B313="","",IF($B313+1&gt;dropdown!$D$12,"",IF(B313&lt;dropdown!$D$13,0,IF(Aflossingsmethode="Lineair",Aflossingsbedrag,IF(Aflossingsmethode="Annuïteit",IFERROR(Bedrag_annuïteit-K314,0),0)))))</f>
        <v/>
      </c>
      <c r="K314" s="58" t="str">
        <f>IF($B313="","",IF($B313+1&gt;dropdown!$D$12,"",G314*I314*Rentekosten))</f>
        <v/>
      </c>
      <c r="L314" s="58" t="str">
        <f t="shared" si="42"/>
        <v/>
      </c>
      <c r="M314" s="58" t="str">
        <f t="shared" si="36"/>
        <v/>
      </c>
      <c r="N314" s="57"/>
      <c r="O314" s="60" t="str">
        <f t="shared" si="37"/>
        <v/>
      </c>
      <c r="P314" s="60" t="str">
        <f t="shared" si="38"/>
        <v/>
      </c>
      <c r="Q314" s="60" t="str">
        <f t="shared" si="43"/>
        <v/>
      </c>
      <c r="R314" s="57"/>
      <c r="S314" s="58" t="str">
        <f t="shared" si="39"/>
        <v/>
      </c>
      <c r="T314" s="58" t="str">
        <f t="shared" si="40"/>
        <v/>
      </c>
      <c r="U314" s="61" t="str">
        <f t="shared" si="44"/>
        <v/>
      </c>
      <c r="V314" s="58" t="str">
        <f t="shared" si="41"/>
        <v/>
      </c>
      <c r="W314" s="57"/>
    </row>
    <row r="315" spans="1:23" s="59" customFormat="1" x14ac:dyDescent="0.25">
      <c r="A315" s="53"/>
      <c r="B315" s="54" t="str">
        <f>IF($B314="","",IF($B314+1&gt;dropdown!$D$12,"",Schema!B314+1))</f>
        <v/>
      </c>
      <c r="C315" s="55" t="str">
        <f>IF($B314="","",IF($B314+1&gt;dropdown!$D$12,"",EOMONTH(C314,0)+1))</f>
        <v/>
      </c>
      <c r="D315" s="53"/>
      <c r="E315" s="55" t="str">
        <f>IF($B314="","",IF($B314+1&gt;dropdown!$D$12,"",F314+1))</f>
        <v/>
      </c>
      <c r="F315" s="55" t="str">
        <f>IF($B314="","",IF($B314+1&gt;dropdown!$D$12,"",EOMONTH(E315,0)))</f>
        <v/>
      </c>
      <c r="G315" s="56" t="str">
        <f>IF($B314="","",IF($B314+1&gt;dropdown!$D$12,"",(_xlfn.DAYS(F315,E315)+1)/DAY(F315)))</f>
        <v/>
      </c>
      <c r="H315" s="57"/>
      <c r="I315" s="58" t="str">
        <f>IF($B314="","",IF($B314+1&gt;dropdown!$D$12,"",I314-J314))</f>
        <v/>
      </c>
      <c r="J315" s="58" t="str">
        <f>IF($B314="","",IF($B314+1&gt;dropdown!$D$12,"",IF(B314&lt;dropdown!$D$13,0,IF(Aflossingsmethode="Lineair",Aflossingsbedrag,IF(Aflossingsmethode="Annuïteit",IFERROR(Bedrag_annuïteit-K315,0),0)))))</f>
        <v/>
      </c>
      <c r="K315" s="58" t="str">
        <f>IF($B314="","",IF($B314+1&gt;dropdown!$D$12,"",G315*I315*Rentekosten))</f>
        <v/>
      </c>
      <c r="L315" s="58" t="str">
        <f t="shared" si="42"/>
        <v/>
      </c>
      <c r="M315" s="58" t="str">
        <f t="shared" si="36"/>
        <v/>
      </c>
      <c r="N315" s="57"/>
      <c r="O315" s="60" t="str">
        <f t="shared" si="37"/>
        <v/>
      </c>
      <c r="P315" s="60" t="str">
        <f t="shared" si="38"/>
        <v/>
      </c>
      <c r="Q315" s="60" t="str">
        <f t="shared" si="43"/>
        <v/>
      </c>
      <c r="R315" s="57"/>
      <c r="S315" s="58" t="str">
        <f t="shared" si="39"/>
        <v/>
      </c>
      <c r="T315" s="58" t="str">
        <f t="shared" si="40"/>
        <v/>
      </c>
      <c r="U315" s="61" t="str">
        <f t="shared" si="44"/>
        <v/>
      </c>
      <c r="V315" s="58" t="str">
        <f t="shared" si="41"/>
        <v/>
      </c>
      <c r="W315" s="57"/>
    </row>
    <row r="316" spans="1:23" s="59" customFormat="1" x14ac:dyDescent="0.25">
      <c r="A316" s="53"/>
      <c r="B316" s="54" t="str">
        <f>IF($B315="","",IF($B315+1&gt;dropdown!$D$12,"",Schema!B315+1))</f>
        <v/>
      </c>
      <c r="C316" s="55" t="str">
        <f>IF($B315="","",IF($B315+1&gt;dropdown!$D$12,"",EOMONTH(C315,0)+1))</f>
        <v/>
      </c>
      <c r="D316" s="53"/>
      <c r="E316" s="55" t="str">
        <f>IF($B315="","",IF($B315+1&gt;dropdown!$D$12,"",F315+1))</f>
        <v/>
      </c>
      <c r="F316" s="55" t="str">
        <f>IF($B315="","",IF($B315+1&gt;dropdown!$D$12,"",EOMONTH(E316,0)))</f>
        <v/>
      </c>
      <c r="G316" s="56" t="str">
        <f>IF($B315="","",IF($B315+1&gt;dropdown!$D$12,"",(_xlfn.DAYS(F316,E316)+1)/DAY(F316)))</f>
        <v/>
      </c>
      <c r="H316" s="57"/>
      <c r="I316" s="58" t="str">
        <f>IF($B315="","",IF($B315+1&gt;dropdown!$D$12,"",I315-J315))</f>
        <v/>
      </c>
      <c r="J316" s="58" t="str">
        <f>IF($B315="","",IF($B315+1&gt;dropdown!$D$12,"",IF(B315&lt;dropdown!$D$13,0,IF(Aflossingsmethode="Lineair",Aflossingsbedrag,IF(Aflossingsmethode="Annuïteit",IFERROR(Bedrag_annuïteit-K316,0),0)))))</f>
        <v/>
      </c>
      <c r="K316" s="58" t="str">
        <f>IF($B315="","",IF($B315+1&gt;dropdown!$D$12,"",G316*I316*Rentekosten))</f>
        <v/>
      </c>
      <c r="L316" s="58" t="str">
        <f t="shared" si="42"/>
        <v/>
      </c>
      <c r="M316" s="58" t="str">
        <f t="shared" si="36"/>
        <v/>
      </c>
      <c r="N316" s="57"/>
      <c r="O316" s="60" t="str">
        <f t="shared" si="37"/>
        <v/>
      </c>
      <c r="P316" s="60" t="str">
        <f t="shared" si="38"/>
        <v/>
      </c>
      <c r="Q316" s="60" t="str">
        <f t="shared" si="43"/>
        <v/>
      </c>
      <c r="R316" s="57"/>
      <c r="S316" s="58" t="str">
        <f t="shared" si="39"/>
        <v/>
      </c>
      <c r="T316" s="58" t="str">
        <f t="shared" si="40"/>
        <v/>
      </c>
      <c r="U316" s="61" t="str">
        <f t="shared" si="44"/>
        <v/>
      </c>
      <c r="V316" s="58" t="str">
        <f t="shared" si="41"/>
        <v/>
      </c>
      <c r="W316" s="57"/>
    </row>
    <row r="317" spans="1:23" s="59" customFormat="1" x14ac:dyDescent="0.25">
      <c r="A317" s="53"/>
      <c r="B317" s="54" t="str">
        <f>IF($B316="","",IF($B316+1&gt;dropdown!$D$12,"",Schema!B316+1))</f>
        <v/>
      </c>
      <c r="C317" s="55" t="str">
        <f>IF($B316="","",IF($B316+1&gt;dropdown!$D$12,"",EOMONTH(C316,0)+1))</f>
        <v/>
      </c>
      <c r="D317" s="53"/>
      <c r="E317" s="55" t="str">
        <f>IF($B316="","",IF($B316+1&gt;dropdown!$D$12,"",F316+1))</f>
        <v/>
      </c>
      <c r="F317" s="55" t="str">
        <f>IF($B316="","",IF($B316+1&gt;dropdown!$D$12,"",EOMONTH(E317,0)))</f>
        <v/>
      </c>
      <c r="G317" s="56" t="str">
        <f>IF($B316="","",IF($B316+1&gt;dropdown!$D$12,"",(_xlfn.DAYS(F317,E317)+1)/DAY(F317)))</f>
        <v/>
      </c>
      <c r="H317" s="57"/>
      <c r="I317" s="58" t="str">
        <f>IF($B316="","",IF($B316+1&gt;dropdown!$D$12,"",I316-J316))</f>
        <v/>
      </c>
      <c r="J317" s="58" t="str">
        <f>IF($B316="","",IF($B316+1&gt;dropdown!$D$12,"",IF(B316&lt;dropdown!$D$13,0,IF(Aflossingsmethode="Lineair",Aflossingsbedrag,IF(Aflossingsmethode="Annuïteit",IFERROR(Bedrag_annuïteit-K317,0),0)))))</f>
        <v/>
      </c>
      <c r="K317" s="58" t="str">
        <f>IF($B316="","",IF($B316+1&gt;dropdown!$D$12,"",G317*I317*Rentekosten))</f>
        <v/>
      </c>
      <c r="L317" s="58" t="str">
        <f t="shared" si="42"/>
        <v/>
      </c>
      <c r="M317" s="58" t="str">
        <f t="shared" si="36"/>
        <v/>
      </c>
      <c r="N317" s="57"/>
      <c r="O317" s="60" t="str">
        <f t="shared" si="37"/>
        <v/>
      </c>
      <c r="P317" s="60" t="str">
        <f t="shared" si="38"/>
        <v/>
      </c>
      <c r="Q317" s="60" t="str">
        <f t="shared" si="43"/>
        <v/>
      </c>
      <c r="R317" s="57"/>
      <c r="S317" s="58" t="str">
        <f t="shared" si="39"/>
        <v/>
      </c>
      <c r="T317" s="58" t="str">
        <f t="shared" si="40"/>
        <v/>
      </c>
      <c r="U317" s="61" t="str">
        <f t="shared" si="44"/>
        <v/>
      </c>
      <c r="V317" s="58" t="str">
        <f t="shared" si="41"/>
        <v/>
      </c>
      <c r="W317" s="57"/>
    </row>
    <row r="318" spans="1:23" s="59" customFormat="1" x14ac:dyDescent="0.25">
      <c r="A318" s="53"/>
      <c r="B318" s="54" t="str">
        <f>IF($B317="","",IF($B317+1&gt;dropdown!$D$12,"",Schema!B317+1))</f>
        <v/>
      </c>
      <c r="C318" s="55" t="str">
        <f>IF($B317="","",IF($B317+1&gt;dropdown!$D$12,"",EOMONTH(C317,0)+1))</f>
        <v/>
      </c>
      <c r="D318" s="53"/>
      <c r="E318" s="55" t="str">
        <f>IF($B317="","",IF($B317+1&gt;dropdown!$D$12,"",F317+1))</f>
        <v/>
      </c>
      <c r="F318" s="55" t="str">
        <f>IF($B317="","",IF($B317+1&gt;dropdown!$D$12,"",EOMONTH(E318,0)))</f>
        <v/>
      </c>
      <c r="G318" s="56" t="str">
        <f>IF($B317="","",IF($B317+1&gt;dropdown!$D$12,"",(_xlfn.DAYS(F318,E318)+1)/DAY(F318)))</f>
        <v/>
      </c>
      <c r="H318" s="57"/>
      <c r="I318" s="58" t="str">
        <f>IF($B317="","",IF($B317+1&gt;dropdown!$D$12,"",I317-J317))</f>
        <v/>
      </c>
      <c r="J318" s="58" t="str">
        <f>IF($B317="","",IF($B317+1&gt;dropdown!$D$12,"",IF(B317&lt;dropdown!$D$13,0,IF(Aflossingsmethode="Lineair",Aflossingsbedrag,IF(Aflossingsmethode="Annuïteit",IFERROR(Bedrag_annuïteit-K318,0),0)))))</f>
        <v/>
      </c>
      <c r="K318" s="58" t="str">
        <f>IF($B317="","",IF($B317+1&gt;dropdown!$D$12,"",G318*I318*Rentekosten))</f>
        <v/>
      </c>
      <c r="L318" s="58" t="str">
        <f t="shared" si="42"/>
        <v/>
      </c>
      <c r="M318" s="58" t="str">
        <f t="shared" si="36"/>
        <v/>
      </c>
      <c r="N318" s="57"/>
      <c r="O318" s="60" t="str">
        <f t="shared" si="37"/>
        <v/>
      </c>
      <c r="P318" s="60" t="str">
        <f t="shared" si="38"/>
        <v/>
      </c>
      <c r="Q318" s="60" t="str">
        <f t="shared" si="43"/>
        <v/>
      </c>
      <c r="R318" s="57"/>
      <c r="S318" s="58" t="str">
        <f t="shared" si="39"/>
        <v/>
      </c>
      <c r="T318" s="58" t="str">
        <f t="shared" si="40"/>
        <v/>
      </c>
      <c r="U318" s="61" t="str">
        <f t="shared" si="44"/>
        <v/>
      </c>
      <c r="V318" s="58" t="str">
        <f t="shared" si="41"/>
        <v/>
      </c>
      <c r="W318" s="57"/>
    </row>
    <row r="319" spans="1:23" s="59" customFormat="1" x14ac:dyDescent="0.25">
      <c r="A319" s="53"/>
      <c r="B319" s="54" t="str">
        <f>IF($B318="","",IF($B318+1&gt;dropdown!$D$12,"",Schema!B318+1))</f>
        <v/>
      </c>
      <c r="C319" s="55" t="str">
        <f>IF($B318="","",IF($B318+1&gt;dropdown!$D$12,"",EOMONTH(C318,0)+1))</f>
        <v/>
      </c>
      <c r="D319" s="53"/>
      <c r="E319" s="55" t="str">
        <f>IF($B318="","",IF($B318+1&gt;dropdown!$D$12,"",F318+1))</f>
        <v/>
      </c>
      <c r="F319" s="55" t="str">
        <f>IF($B318="","",IF($B318+1&gt;dropdown!$D$12,"",EOMONTH(E319,0)))</f>
        <v/>
      </c>
      <c r="G319" s="56" t="str">
        <f>IF($B318="","",IF($B318+1&gt;dropdown!$D$12,"",(_xlfn.DAYS(F319,E319)+1)/DAY(F319)))</f>
        <v/>
      </c>
      <c r="H319" s="57"/>
      <c r="I319" s="58" t="str">
        <f>IF($B318="","",IF($B318+1&gt;dropdown!$D$12,"",I318-J318))</f>
        <v/>
      </c>
      <c r="J319" s="58" t="str">
        <f>IF($B318="","",IF($B318+1&gt;dropdown!$D$12,"",IF(B318&lt;dropdown!$D$13,0,IF(Aflossingsmethode="Lineair",Aflossingsbedrag,IF(Aflossingsmethode="Annuïteit",IFERROR(Bedrag_annuïteit-K319,0),0)))))</f>
        <v/>
      </c>
      <c r="K319" s="58" t="str">
        <f>IF($B318="","",IF($B318+1&gt;dropdown!$D$12,"",G319*I319*Rentekosten))</f>
        <v/>
      </c>
      <c r="L319" s="58" t="str">
        <f t="shared" si="42"/>
        <v/>
      </c>
      <c r="M319" s="58" t="str">
        <f t="shared" si="36"/>
        <v/>
      </c>
      <c r="N319" s="57"/>
      <c r="O319" s="60" t="str">
        <f t="shared" si="37"/>
        <v/>
      </c>
      <c r="P319" s="60" t="str">
        <f t="shared" si="38"/>
        <v/>
      </c>
      <c r="Q319" s="60" t="str">
        <f t="shared" si="43"/>
        <v/>
      </c>
      <c r="R319" s="57"/>
      <c r="S319" s="58" t="str">
        <f t="shared" si="39"/>
        <v/>
      </c>
      <c r="T319" s="58" t="str">
        <f t="shared" si="40"/>
        <v/>
      </c>
      <c r="U319" s="61" t="str">
        <f t="shared" si="44"/>
        <v/>
      </c>
      <c r="V319" s="58" t="str">
        <f t="shared" si="41"/>
        <v/>
      </c>
      <c r="W319" s="57"/>
    </row>
    <row r="320" spans="1:23" s="59" customFormat="1" x14ac:dyDescent="0.25">
      <c r="A320" s="53"/>
      <c r="B320" s="54" t="str">
        <f>IF($B319="","",IF($B319+1&gt;dropdown!$D$12,"",Schema!B319+1))</f>
        <v/>
      </c>
      <c r="C320" s="55" t="str">
        <f>IF($B319="","",IF($B319+1&gt;dropdown!$D$12,"",EOMONTH(C319,0)+1))</f>
        <v/>
      </c>
      <c r="D320" s="53"/>
      <c r="E320" s="55" t="str">
        <f>IF($B319="","",IF($B319+1&gt;dropdown!$D$12,"",F319+1))</f>
        <v/>
      </c>
      <c r="F320" s="55" t="str">
        <f>IF($B319="","",IF($B319+1&gt;dropdown!$D$12,"",EOMONTH(E320,0)))</f>
        <v/>
      </c>
      <c r="G320" s="56" t="str">
        <f>IF($B319="","",IF($B319+1&gt;dropdown!$D$12,"",(_xlfn.DAYS(F320,E320)+1)/DAY(F320)))</f>
        <v/>
      </c>
      <c r="H320" s="57"/>
      <c r="I320" s="58" t="str">
        <f>IF($B319="","",IF($B319+1&gt;dropdown!$D$12,"",I319-J319))</f>
        <v/>
      </c>
      <c r="J320" s="58" t="str">
        <f>IF($B319="","",IF($B319+1&gt;dropdown!$D$12,"",IF(B319&lt;dropdown!$D$13,0,IF(Aflossingsmethode="Lineair",Aflossingsbedrag,IF(Aflossingsmethode="Annuïteit",IFERROR(Bedrag_annuïteit-K320,0),0)))))</f>
        <v/>
      </c>
      <c r="K320" s="58" t="str">
        <f>IF($B319="","",IF($B319+1&gt;dropdown!$D$12,"",G320*I320*Rentekosten))</f>
        <v/>
      </c>
      <c r="L320" s="58" t="str">
        <f t="shared" si="42"/>
        <v/>
      </c>
      <c r="M320" s="58" t="str">
        <f t="shared" si="36"/>
        <v/>
      </c>
      <c r="N320" s="57"/>
      <c r="O320" s="60" t="str">
        <f t="shared" si="37"/>
        <v/>
      </c>
      <c r="P320" s="60" t="str">
        <f t="shared" si="38"/>
        <v/>
      </c>
      <c r="Q320" s="60" t="str">
        <f t="shared" si="43"/>
        <v/>
      </c>
      <c r="R320" s="57"/>
      <c r="S320" s="58" t="str">
        <f t="shared" si="39"/>
        <v/>
      </c>
      <c r="T320" s="58" t="str">
        <f t="shared" si="40"/>
        <v/>
      </c>
      <c r="U320" s="61" t="str">
        <f t="shared" si="44"/>
        <v/>
      </c>
      <c r="V320" s="58" t="str">
        <f t="shared" si="41"/>
        <v/>
      </c>
      <c r="W320" s="57"/>
    </row>
    <row r="321" spans="1:23" s="59" customFormat="1" x14ac:dyDescent="0.25">
      <c r="A321" s="53"/>
      <c r="B321" s="54" t="str">
        <f>IF($B320="","",IF($B320+1&gt;dropdown!$D$12,"",Schema!B320+1))</f>
        <v/>
      </c>
      <c r="C321" s="55" t="str">
        <f>IF($B320="","",IF($B320+1&gt;dropdown!$D$12,"",EOMONTH(C320,0)+1))</f>
        <v/>
      </c>
      <c r="D321" s="53"/>
      <c r="E321" s="55" t="str">
        <f>IF($B320="","",IF($B320+1&gt;dropdown!$D$12,"",F320+1))</f>
        <v/>
      </c>
      <c r="F321" s="55" t="str">
        <f>IF($B320="","",IF($B320+1&gt;dropdown!$D$12,"",EOMONTH(E321,0)))</f>
        <v/>
      </c>
      <c r="G321" s="56" t="str">
        <f>IF($B320="","",IF($B320+1&gt;dropdown!$D$12,"",(_xlfn.DAYS(F321,E321)+1)/DAY(F321)))</f>
        <v/>
      </c>
      <c r="H321" s="57"/>
      <c r="I321" s="58" t="str">
        <f>IF($B320="","",IF($B320+1&gt;dropdown!$D$12,"",I320-J320))</f>
        <v/>
      </c>
      <c r="J321" s="58" t="str">
        <f>IF($B320="","",IF($B320+1&gt;dropdown!$D$12,"",IF(B320&lt;dropdown!$D$13,0,IF(Aflossingsmethode="Lineair",Aflossingsbedrag,IF(Aflossingsmethode="Annuïteit",IFERROR(Bedrag_annuïteit-K321,0),0)))))</f>
        <v/>
      </c>
      <c r="K321" s="58" t="str">
        <f>IF($B320="","",IF($B320+1&gt;dropdown!$D$12,"",G321*I321*Rentekosten))</f>
        <v/>
      </c>
      <c r="L321" s="58" t="str">
        <f t="shared" si="42"/>
        <v/>
      </c>
      <c r="M321" s="58" t="str">
        <f t="shared" si="36"/>
        <v/>
      </c>
      <c r="N321" s="57"/>
      <c r="O321" s="60" t="str">
        <f t="shared" si="37"/>
        <v/>
      </c>
      <c r="P321" s="60" t="str">
        <f t="shared" si="38"/>
        <v/>
      </c>
      <c r="Q321" s="60" t="str">
        <f t="shared" si="43"/>
        <v/>
      </c>
      <c r="R321" s="57"/>
      <c r="S321" s="58" t="str">
        <f t="shared" si="39"/>
        <v/>
      </c>
      <c r="T321" s="58" t="str">
        <f t="shared" si="40"/>
        <v/>
      </c>
      <c r="U321" s="61" t="str">
        <f t="shared" si="44"/>
        <v/>
      </c>
      <c r="V321" s="58" t="str">
        <f t="shared" si="41"/>
        <v/>
      </c>
      <c r="W321" s="57"/>
    </row>
    <row r="322" spans="1:23" s="59" customFormat="1" x14ac:dyDescent="0.25">
      <c r="A322" s="53"/>
      <c r="B322" s="54" t="str">
        <f>IF($B321="","",IF($B321+1&gt;dropdown!$D$12,"",Schema!B321+1))</f>
        <v/>
      </c>
      <c r="C322" s="55" t="str">
        <f>IF($B321="","",IF($B321+1&gt;dropdown!$D$12,"",EOMONTH(C321,0)+1))</f>
        <v/>
      </c>
      <c r="D322" s="53"/>
      <c r="E322" s="55" t="str">
        <f>IF($B321="","",IF($B321+1&gt;dropdown!$D$12,"",F321+1))</f>
        <v/>
      </c>
      <c r="F322" s="55" t="str">
        <f>IF($B321="","",IF($B321+1&gt;dropdown!$D$12,"",EOMONTH(E322,0)))</f>
        <v/>
      </c>
      <c r="G322" s="56" t="str">
        <f>IF($B321="","",IF($B321+1&gt;dropdown!$D$12,"",(_xlfn.DAYS(F322,E322)+1)/DAY(F322)))</f>
        <v/>
      </c>
      <c r="H322" s="57"/>
      <c r="I322" s="58" t="str">
        <f>IF($B321="","",IF($B321+1&gt;dropdown!$D$12,"",I321-J321))</f>
        <v/>
      </c>
      <c r="J322" s="58" t="str">
        <f>IF($B321="","",IF($B321+1&gt;dropdown!$D$12,"",IF(B321&lt;dropdown!$D$13,0,IF(Aflossingsmethode="Lineair",Aflossingsbedrag,IF(Aflossingsmethode="Annuïteit",IFERROR(Bedrag_annuïteit-K322,0),0)))))</f>
        <v/>
      </c>
      <c r="K322" s="58" t="str">
        <f>IF($B321="","",IF($B321+1&gt;dropdown!$D$12,"",G322*I322*Rentekosten))</f>
        <v/>
      </c>
      <c r="L322" s="58" t="str">
        <f t="shared" si="42"/>
        <v/>
      </c>
      <c r="M322" s="58" t="str">
        <f t="shared" si="36"/>
        <v/>
      </c>
      <c r="N322" s="57"/>
      <c r="O322" s="60" t="str">
        <f t="shared" si="37"/>
        <v/>
      </c>
      <c r="P322" s="60" t="str">
        <f t="shared" si="38"/>
        <v/>
      </c>
      <c r="Q322" s="60" t="str">
        <f t="shared" si="43"/>
        <v/>
      </c>
      <c r="R322" s="57"/>
      <c r="S322" s="58" t="str">
        <f t="shared" si="39"/>
        <v/>
      </c>
      <c r="T322" s="58" t="str">
        <f t="shared" si="40"/>
        <v/>
      </c>
      <c r="U322" s="61" t="str">
        <f t="shared" si="44"/>
        <v/>
      </c>
      <c r="V322" s="58" t="str">
        <f t="shared" si="41"/>
        <v/>
      </c>
      <c r="W322" s="57"/>
    </row>
    <row r="323" spans="1:23" s="59" customFormat="1" x14ac:dyDescent="0.25">
      <c r="A323" s="53"/>
      <c r="B323" s="54" t="str">
        <f>IF($B322="","",IF($B322+1&gt;dropdown!$D$12,"",Schema!B322+1))</f>
        <v/>
      </c>
      <c r="C323" s="55" t="str">
        <f>IF($B322="","",IF($B322+1&gt;dropdown!$D$12,"",EOMONTH(C322,0)+1))</f>
        <v/>
      </c>
      <c r="D323" s="53"/>
      <c r="E323" s="55" t="str">
        <f>IF($B322="","",IF($B322+1&gt;dropdown!$D$12,"",F322+1))</f>
        <v/>
      </c>
      <c r="F323" s="55" t="str">
        <f>IF($B322="","",IF($B322+1&gt;dropdown!$D$12,"",EOMONTH(E323,0)))</f>
        <v/>
      </c>
      <c r="G323" s="56" t="str">
        <f>IF($B322="","",IF($B322+1&gt;dropdown!$D$12,"",(_xlfn.DAYS(F323,E323)+1)/DAY(F323)))</f>
        <v/>
      </c>
      <c r="H323" s="57"/>
      <c r="I323" s="58" t="str">
        <f>IF($B322="","",IF($B322+1&gt;dropdown!$D$12,"",I322-J322))</f>
        <v/>
      </c>
      <c r="J323" s="58" t="str">
        <f>IF($B322="","",IF($B322+1&gt;dropdown!$D$12,"",IF(B322&lt;dropdown!$D$13,0,IF(Aflossingsmethode="Lineair",Aflossingsbedrag,IF(Aflossingsmethode="Annuïteit",IFERROR(Bedrag_annuïteit-K323,0),0)))))</f>
        <v/>
      </c>
      <c r="K323" s="58" t="str">
        <f>IF($B322="","",IF($B322+1&gt;dropdown!$D$12,"",G323*I323*Rentekosten))</f>
        <v/>
      </c>
      <c r="L323" s="58" t="str">
        <f t="shared" si="42"/>
        <v/>
      </c>
      <c r="M323" s="58" t="str">
        <f t="shared" si="36"/>
        <v/>
      </c>
      <c r="N323" s="57"/>
      <c r="O323" s="60" t="str">
        <f t="shared" si="37"/>
        <v/>
      </c>
      <c r="P323" s="60" t="str">
        <f t="shared" si="38"/>
        <v/>
      </c>
      <c r="Q323" s="60" t="str">
        <f t="shared" si="43"/>
        <v/>
      </c>
      <c r="R323" s="57"/>
      <c r="S323" s="58" t="str">
        <f t="shared" si="39"/>
        <v/>
      </c>
      <c r="T323" s="58" t="str">
        <f t="shared" si="40"/>
        <v/>
      </c>
      <c r="U323" s="61" t="str">
        <f t="shared" si="44"/>
        <v/>
      </c>
      <c r="V323" s="58" t="str">
        <f t="shared" si="41"/>
        <v/>
      </c>
      <c r="W323" s="57"/>
    </row>
    <row r="324" spans="1:23" s="59" customFormat="1" x14ac:dyDescent="0.25">
      <c r="A324" s="53"/>
      <c r="B324" s="54" t="str">
        <f>IF($B323="","",IF($B323+1&gt;dropdown!$D$12,"",Schema!B323+1))</f>
        <v/>
      </c>
      <c r="C324" s="55" t="str">
        <f>IF($B323="","",IF($B323+1&gt;dropdown!$D$12,"",EOMONTH(C323,0)+1))</f>
        <v/>
      </c>
      <c r="D324" s="53"/>
      <c r="E324" s="55" t="str">
        <f>IF($B323="","",IF($B323+1&gt;dropdown!$D$12,"",F323+1))</f>
        <v/>
      </c>
      <c r="F324" s="55" t="str">
        <f>IF($B323="","",IF($B323+1&gt;dropdown!$D$12,"",EOMONTH(E324,0)))</f>
        <v/>
      </c>
      <c r="G324" s="56" t="str">
        <f>IF($B323="","",IF($B323+1&gt;dropdown!$D$12,"",(_xlfn.DAYS(F324,E324)+1)/DAY(F324)))</f>
        <v/>
      </c>
      <c r="H324" s="57"/>
      <c r="I324" s="58" t="str">
        <f>IF($B323="","",IF($B323+1&gt;dropdown!$D$12,"",I323-J323))</f>
        <v/>
      </c>
      <c r="J324" s="58" t="str">
        <f>IF($B323="","",IF($B323+1&gt;dropdown!$D$12,"",IF(B323&lt;dropdown!$D$13,0,IF(Aflossingsmethode="Lineair",Aflossingsbedrag,IF(Aflossingsmethode="Annuïteit",IFERROR(Bedrag_annuïteit-K324,0),0)))))</f>
        <v/>
      </c>
      <c r="K324" s="58" t="str">
        <f>IF($B323="","",IF($B323+1&gt;dropdown!$D$12,"",G324*I324*Rentekosten))</f>
        <v/>
      </c>
      <c r="L324" s="58" t="str">
        <f t="shared" si="42"/>
        <v/>
      </c>
      <c r="M324" s="58" t="str">
        <f t="shared" si="36"/>
        <v/>
      </c>
      <c r="N324" s="57"/>
      <c r="O324" s="60" t="str">
        <f t="shared" si="37"/>
        <v/>
      </c>
      <c r="P324" s="60" t="str">
        <f t="shared" si="38"/>
        <v/>
      </c>
      <c r="Q324" s="60" t="str">
        <f t="shared" si="43"/>
        <v/>
      </c>
      <c r="R324" s="57"/>
      <c r="S324" s="58" t="str">
        <f t="shared" si="39"/>
        <v/>
      </c>
      <c r="T324" s="58" t="str">
        <f t="shared" si="40"/>
        <v/>
      </c>
      <c r="U324" s="61" t="str">
        <f t="shared" si="44"/>
        <v/>
      </c>
      <c r="V324" s="58" t="str">
        <f t="shared" si="41"/>
        <v/>
      </c>
      <c r="W324" s="57"/>
    </row>
    <row r="325" spans="1:23" s="59" customFormat="1" x14ac:dyDescent="0.25">
      <c r="A325" s="53"/>
      <c r="B325" s="54" t="str">
        <f>IF($B324="","",IF($B324+1&gt;dropdown!$D$12,"",Schema!B324+1))</f>
        <v/>
      </c>
      <c r="C325" s="55" t="str">
        <f>IF($B324="","",IF($B324+1&gt;dropdown!$D$12,"",EOMONTH(C324,0)+1))</f>
        <v/>
      </c>
      <c r="D325" s="53"/>
      <c r="E325" s="55" t="str">
        <f>IF($B324="","",IF($B324+1&gt;dropdown!$D$12,"",F324+1))</f>
        <v/>
      </c>
      <c r="F325" s="55" t="str">
        <f>IF($B324="","",IF($B324+1&gt;dropdown!$D$12,"",EOMONTH(E325,0)))</f>
        <v/>
      </c>
      <c r="G325" s="56" t="str">
        <f>IF($B324="","",IF($B324+1&gt;dropdown!$D$12,"",(_xlfn.DAYS(F325,E325)+1)/DAY(F325)))</f>
        <v/>
      </c>
      <c r="H325" s="57"/>
      <c r="I325" s="58" t="str">
        <f>IF($B324="","",IF($B324+1&gt;dropdown!$D$12,"",I324-J324))</f>
        <v/>
      </c>
      <c r="J325" s="58" t="str">
        <f>IF($B324="","",IF($B324+1&gt;dropdown!$D$12,"",IF(B324&lt;dropdown!$D$13,0,IF(Aflossingsmethode="Lineair",Aflossingsbedrag,IF(Aflossingsmethode="Annuïteit",IFERROR(Bedrag_annuïteit-K325,0),0)))))</f>
        <v/>
      </c>
      <c r="K325" s="58" t="str">
        <f>IF($B324="","",IF($B324+1&gt;dropdown!$D$12,"",G325*I325*Rentekosten))</f>
        <v/>
      </c>
      <c r="L325" s="58" t="str">
        <f t="shared" si="42"/>
        <v/>
      </c>
      <c r="M325" s="58" t="str">
        <f t="shared" si="36"/>
        <v/>
      </c>
      <c r="N325" s="57"/>
      <c r="O325" s="60" t="str">
        <f t="shared" si="37"/>
        <v/>
      </c>
      <c r="P325" s="60" t="str">
        <f t="shared" si="38"/>
        <v/>
      </c>
      <c r="Q325" s="60" t="str">
        <f t="shared" si="43"/>
        <v/>
      </c>
      <c r="R325" s="57"/>
      <c r="S325" s="58" t="str">
        <f t="shared" si="39"/>
        <v/>
      </c>
      <c r="T325" s="58" t="str">
        <f t="shared" si="40"/>
        <v/>
      </c>
      <c r="U325" s="61" t="str">
        <f t="shared" si="44"/>
        <v/>
      </c>
      <c r="V325" s="58" t="str">
        <f t="shared" si="41"/>
        <v/>
      </c>
      <c r="W325" s="57"/>
    </row>
    <row r="326" spans="1:23" s="59" customFormat="1" x14ac:dyDescent="0.25">
      <c r="A326" s="53"/>
      <c r="B326" s="54" t="str">
        <f>IF($B325="","",IF($B325+1&gt;dropdown!$D$12,"",Schema!B325+1))</f>
        <v/>
      </c>
      <c r="C326" s="55" t="str">
        <f>IF($B325="","",IF($B325+1&gt;dropdown!$D$12,"",EOMONTH(C325,0)+1))</f>
        <v/>
      </c>
      <c r="D326" s="53"/>
      <c r="E326" s="55" t="str">
        <f>IF($B325="","",IF($B325+1&gt;dropdown!$D$12,"",F325+1))</f>
        <v/>
      </c>
      <c r="F326" s="55" t="str">
        <f>IF($B325="","",IF($B325+1&gt;dropdown!$D$12,"",EOMONTH(E326,0)))</f>
        <v/>
      </c>
      <c r="G326" s="56" t="str">
        <f>IF($B325="","",IF($B325+1&gt;dropdown!$D$12,"",(_xlfn.DAYS(F326,E326)+1)/DAY(F326)))</f>
        <v/>
      </c>
      <c r="H326" s="57"/>
      <c r="I326" s="58" t="str">
        <f>IF($B325="","",IF($B325+1&gt;dropdown!$D$12,"",I325-J325))</f>
        <v/>
      </c>
      <c r="J326" s="58" t="str">
        <f>IF($B325="","",IF($B325+1&gt;dropdown!$D$12,"",IF(B325&lt;dropdown!$D$13,0,IF(Aflossingsmethode="Lineair",Aflossingsbedrag,IF(Aflossingsmethode="Annuïteit",IFERROR(Bedrag_annuïteit-K326,0),0)))))</f>
        <v/>
      </c>
      <c r="K326" s="58" t="str">
        <f>IF($B325="","",IF($B325+1&gt;dropdown!$D$12,"",G326*I326*Rentekosten))</f>
        <v/>
      </c>
      <c r="L326" s="58" t="str">
        <f t="shared" si="42"/>
        <v/>
      </c>
      <c r="M326" s="58" t="str">
        <f t="shared" si="36"/>
        <v/>
      </c>
      <c r="N326" s="57"/>
      <c r="O326" s="60" t="str">
        <f t="shared" si="37"/>
        <v/>
      </c>
      <c r="P326" s="60" t="str">
        <f t="shared" si="38"/>
        <v/>
      </c>
      <c r="Q326" s="60" t="str">
        <f t="shared" si="43"/>
        <v/>
      </c>
      <c r="R326" s="57"/>
      <c r="S326" s="58" t="str">
        <f t="shared" si="39"/>
        <v/>
      </c>
      <c r="T326" s="58" t="str">
        <f t="shared" si="40"/>
        <v/>
      </c>
      <c r="U326" s="61" t="str">
        <f t="shared" si="44"/>
        <v/>
      </c>
      <c r="V326" s="58" t="str">
        <f t="shared" si="41"/>
        <v/>
      </c>
      <c r="W326" s="57"/>
    </row>
    <row r="327" spans="1:23" s="59" customFormat="1" x14ac:dyDescent="0.25">
      <c r="A327" s="53"/>
      <c r="B327" s="54" t="str">
        <f>IF($B326="","",IF($B326+1&gt;dropdown!$D$12,"",Schema!B326+1))</f>
        <v/>
      </c>
      <c r="C327" s="55" t="str">
        <f>IF($B326="","",IF($B326+1&gt;dropdown!$D$12,"",EOMONTH(C326,0)+1))</f>
        <v/>
      </c>
      <c r="D327" s="53"/>
      <c r="E327" s="55" t="str">
        <f>IF($B326="","",IF($B326+1&gt;dropdown!$D$12,"",F326+1))</f>
        <v/>
      </c>
      <c r="F327" s="55" t="str">
        <f>IF($B326="","",IF($B326+1&gt;dropdown!$D$12,"",EOMONTH(E327,0)))</f>
        <v/>
      </c>
      <c r="G327" s="56" t="str">
        <f>IF($B326="","",IF($B326+1&gt;dropdown!$D$12,"",(_xlfn.DAYS(F327,E327)+1)/DAY(F327)))</f>
        <v/>
      </c>
      <c r="H327" s="57"/>
      <c r="I327" s="58" t="str">
        <f>IF($B326="","",IF($B326+1&gt;dropdown!$D$12,"",I326-J326))</f>
        <v/>
      </c>
      <c r="J327" s="58" t="str">
        <f>IF($B326="","",IF($B326+1&gt;dropdown!$D$12,"",IF(B326&lt;dropdown!$D$13,0,IF(Aflossingsmethode="Lineair",Aflossingsbedrag,IF(Aflossingsmethode="Annuïteit",IFERROR(Bedrag_annuïteit-K327,0),0)))))</f>
        <v/>
      </c>
      <c r="K327" s="58" t="str">
        <f>IF($B326="","",IF($B326+1&gt;dropdown!$D$12,"",G327*I327*Rentekosten))</f>
        <v/>
      </c>
      <c r="L327" s="58" t="str">
        <f t="shared" si="42"/>
        <v/>
      </c>
      <c r="M327" s="58" t="str">
        <f t="shared" si="36"/>
        <v/>
      </c>
      <c r="N327" s="57"/>
      <c r="O327" s="60" t="str">
        <f t="shared" si="37"/>
        <v/>
      </c>
      <c r="P327" s="60" t="str">
        <f t="shared" si="38"/>
        <v/>
      </c>
      <c r="Q327" s="60" t="str">
        <f t="shared" si="43"/>
        <v/>
      </c>
      <c r="R327" s="57"/>
      <c r="S327" s="58" t="str">
        <f t="shared" si="39"/>
        <v/>
      </c>
      <c r="T327" s="58" t="str">
        <f t="shared" si="40"/>
        <v/>
      </c>
      <c r="U327" s="61" t="str">
        <f t="shared" si="44"/>
        <v/>
      </c>
      <c r="V327" s="58" t="str">
        <f t="shared" si="41"/>
        <v/>
      </c>
      <c r="W327" s="57"/>
    </row>
    <row r="328" spans="1:23" s="59" customFormat="1" x14ac:dyDescent="0.25">
      <c r="A328" s="53"/>
      <c r="B328" s="54" t="str">
        <f>IF($B327="","",IF($B327+1&gt;dropdown!$D$12,"",Schema!B327+1))</f>
        <v/>
      </c>
      <c r="C328" s="55" t="str">
        <f>IF($B327="","",IF($B327+1&gt;dropdown!$D$12,"",EOMONTH(C327,0)+1))</f>
        <v/>
      </c>
      <c r="D328" s="53"/>
      <c r="E328" s="55" t="str">
        <f>IF($B327="","",IF($B327+1&gt;dropdown!$D$12,"",F327+1))</f>
        <v/>
      </c>
      <c r="F328" s="55" t="str">
        <f>IF($B327="","",IF($B327+1&gt;dropdown!$D$12,"",EOMONTH(E328,0)))</f>
        <v/>
      </c>
      <c r="G328" s="56" t="str">
        <f>IF($B327="","",IF($B327+1&gt;dropdown!$D$12,"",(_xlfn.DAYS(F328,E328)+1)/DAY(F328)))</f>
        <v/>
      </c>
      <c r="H328" s="57"/>
      <c r="I328" s="58" t="str">
        <f>IF($B327="","",IF($B327+1&gt;dropdown!$D$12,"",I327-J327))</f>
        <v/>
      </c>
      <c r="J328" s="58" t="str">
        <f>IF($B327="","",IF($B327+1&gt;dropdown!$D$12,"",IF(B327&lt;dropdown!$D$13,0,IF(Aflossingsmethode="Lineair",Aflossingsbedrag,IF(Aflossingsmethode="Annuïteit",IFERROR(Bedrag_annuïteit-K328,0),0)))))</f>
        <v/>
      </c>
      <c r="K328" s="58" t="str">
        <f>IF($B327="","",IF($B327+1&gt;dropdown!$D$12,"",G328*I328*Rentekosten))</f>
        <v/>
      </c>
      <c r="L328" s="58" t="str">
        <f t="shared" si="42"/>
        <v/>
      </c>
      <c r="M328" s="58" t="str">
        <f t="shared" si="36"/>
        <v/>
      </c>
      <c r="N328" s="57"/>
      <c r="O328" s="60" t="str">
        <f t="shared" si="37"/>
        <v/>
      </c>
      <c r="P328" s="60" t="str">
        <f t="shared" si="38"/>
        <v/>
      </c>
      <c r="Q328" s="60" t="str">
        <f t="shared" si="43"/>
        <v/>
      </c>
      <c r="R328" s="57"/>
      <c r="S328" s="58" t="str">
        <f t="shared" si="39"/>
        <v/>
      </c>
      <c r="T328" s="58" t="str">
        <f t="shared" si="40"/>
        <v/>
      </c>
      <c r="U328" s="61" t="str">
        <f t="shared" si="44"/>
        <v/>
      </c>
      <c r="V328" s="58" t="str">
        <f t="shared" si="41"/>
        <v/>
      </c>
      <c r="W328" s="57"/>
    </row>
    <row r="329" spans="1:23" s="59" customFormat="1" x14ac:dyDescent="0.25">
      <c r="A329" s="53"/>
      <c r="B329" s="54" t="str">
        <f>IF($B328="","",IF($B328+1&gt;dropdown!$D$12,"",Schema!B328+1))</f>
        <v/>
      </c>
      <c r="C329" s="55" t="str">
        <f>IF($B328="","",IF($B328+1&gt;dropdown!$D$12,"",EOMONTH(C328,0)+1))</f>
        <v/>
      </c>
      <c r="D329" s="53"/>
      <c r="E329" s="55" t="str">
        <f>IF($B328="","",IF($B328+1&gt;dropdown!$D$12,"",F328+1))</f>
        <v/>
      </c>
      <c r="F329" s="55" t="str">
        <f>IF($B328="","",IF($B328+1&gt;dropdown!$D$12,"",EOMONTH(E329,0)))</f>
        <v/>
      </c>
      <c r="G329" s="56" t="str">
        <f>IF($B328="","",IF($B328+1&gt;dropdown!$D$12,"",(_xlfn.DAYS(F329,E329)+1)/DAY(F329)))</f>
        <v/>
      </c>
      <c r="H329" s="57"/>
      <c r="I329" s="58" t="str">
        <f>IF($B328="","",IF($B328+1&gt;dropdown!$D$12,"",I328-J328))</f>
        <v/>
      </c>
      <c r="J329" s="58" t="str">
        <f>IF($B328="","",IF($B328+1&gt;dropdown!$D$12,"",IF(B328&lt;dropdown!$D$13,0,IF(Aflossingsmethode="Lineair",Aflossingsbedrag,IF(Aflossingsmethode="Annuïteit",IFERROR(Bedrag_annuïteit-K329,0),0)))))</f>
        <v/>
      </c>
      <c r="K329" s="58" t="str">
        <f>IF($B328="","",IF($B328+1&gt;dropdown!$D$12,"",G329*I329*Rentekosten))</f>
        <v/>
      </c>
      <c r="L329" s="58" t="str">
        <f t="shared" si="42"/>
        <v/>
      </c>
      <c r="M329" s="58" t="str">
        <f t="shared" si="36"/>
        <v/>
      </c>
      <c r="N329" s="57"/>
      <c r="O329" s="60" t="str">
        <f t="shared" si="37"/>
        <v/>
      </c>
      <c r="P329" s="60" t="str">
        <f t="shared" si="38"/>
        <v/>
      </c>
      <c r="Q329" s="60" t="str">
        <f t="shared" si="43"/>
        <v/>
      </c>
      <c r="R329" s="57"/>
      <c r="S329" s="58" t="str">
        <f t="shared" si="39"/>
        <v/>
      </c>
      <c r="T329" s="58" t="str">
        <f t="shared" si="40"/>
        <v/>
      </c>
      <c r="U329" s="61" t="str">
        <f t="shared" si="44"/>
        <v/>
      </c>
      <c r="V329" s="58" t="str">
        <f t="shared" si="41"/>
        <v/>
      </c>
      <c r="W329" s="57"/>
    </row>
    <row r="330" spans="1:23" s="59" customFormat="1" x14ac:dyDescent="0.25">
      <c r="A330" s="53"/>
      <c r="B330" s="54" t="str">
        <f>IF($B329="","",IF($B329+1&gt;dropdown!$D$12,"",Schema!B329+1))</f>
        <v/>
      </c>
      <c r="C330" s="55" t="str">
        <f>IF($B329="","",IF($B329+1&gt;dropdown!$D$12,"",EOMONTH(C329,0)+1))</f>
        <v/>
      </c>
      <c r="D330" s="53"/>
      <c r="E330" s="55" t="str">
        <f>IF($B329="","",IF($B329+1&gt;dropdown!$D$12,"",F329+1))</f>
        <v/>
      </c>
      <c r="F330" s="55" t="str">
        <f>IF($B329="","",IF($B329+1&gt;dropdown!$D$12,"",EOMONTH(E330,0)))</f>
        <v/>
      </c>
      <c r="G330" s="56" t="str">
        <f>IF($B329="","",IF($B329+1&gt;dropdown!$D$12,"",(_xlfn.DAYS(F330,E330)+1)/DAY(F330)))</f>
        <v/>
      </c>
      <c r="H330" s="57"/>
      <c r="I330" s="58" t="str">
        <f>IF($B329="","",IF($B329+1&gt;dropdown!$D$12,"",I329-J329))</f>
        <v/>
      </c>
      <c r="J330" s="58" t="str">
        <f>IF($B329="","",IF($B329+1&gt;dropdown!$D$12,"",IF(B329&lt;dropdown!$D$13,0,IF(Aflossingsmethode="Lineair",Aflossingsbedrag,IF(Aflossingsmethode="Annuïteit",IFERROR(Bedrag_annuïteit-K330,0),0)))))</f>
        <v/>
      </c>
      <c r="K330" s="58" t="str">
        <f>IF($B329="","",IF($B329+1&gt;dropdown!$D$12,"",G330*I330*Rentekosten))</f>
        <v/>
      </c>
      <c r="L330" s="58" t="str">
        <f t="shared" si="42"/>
        <v/>
      </c>
      <c r="M330" s="58" t="str">
        <f t="shared" ref="M330:M369" si="45">IF(S330="","",-K330-J330)</f>
        <v/>
      </c>
      <c r="N330" s="57"/>
      <c r="O330" s="60" t="str">
        <f t="shared" ref="O330:O369" si="46">IF($B330="","",Rentekosten)</f>
        <v/>
      </c>
      <c r="P330" s="60" t="str">
        <f t="shared" ref="P330:P369" si="47">IF($B330="","",Rentekosten*(POWER(1+Rentekosten,$B330-1+1)))</f>
        <v/>
      </c>
      <c r="Q330" s="60" t="str">
        <f t="shared" si="43"/>
        <v/>
      </c>
      <c r="R330" s="57"/>
      <c r="S330" s="58" t="str">
        <f t="shared" ref="S330:S369" si="48">IF(B330="","",IF(S329-T329&lt;0,"",S329-T329))</f>
        <v/>
      </c>
      <c r="T330" s="58" t="str">
        <f t="shared" ref="T330:T369" si="49">IF(S330="","",J330/(POWER(1+Rentekosten,$B330-1+1)))</f>
        <v/>
      </c>
      <c r="U330" s="61" t="str">
        <f t="shared" si="44"/>
        <v/>
      </c>
      <c r="V330" s="58" t="str">
        <f t="shared" ref="V330:V369" si="50">IF($B330="","",K330/(POWER(1+Rentekosten,$B330-1+1)))</f>
        <v/>
      </c>
      <c r="W330" s="57"/>
    </row>
    <row r="331" spans="1:23" s="59" customFormat="1" x14ac:dyDescent="0.25">
      <c r="A331" s="53"/>
      <c r="B331" s="54" t="str">
        <f>IF($B330="","",IF($B330+1&gt;dropdown!$D$12,"",Schema!B330+1))</f>
        <v/>
      </c>
      <c r="C331" s="55" t="str">
        <f>IF($B330="","",IF($B330+1&gt;dropdown!$D$12,"",EOMONTH(C330,0)+1))</f>
        <v/>
      </c>
      <c r="D331" s="53"/>
      <c r="E331" s="55" t="str">
        <f>IF($B330="","",IF($B330+1&gt;dropdown!$D$12,"",F330+1))</f>
        <v/>
      </c>
      <c r="F331" s="55" t="str">
        <f>IF($B330="","",IF($B330+1&gt;dropdown!$D$12,"",EOMONTH(E331,0)))</f>
        <v/>
      </c>
      <c r="G331" s="56" t="str">
        <f>IF($B330="","",IF($B330+1&gt;dropdown!$D$12,"",(_xlfn.DAYS(F331,E331)+1)/DAY(F331)))</f>
        <v/>
      </c>
      <c r="H331" s="57"/>
      <c r="I331" s="58" t="str">
        <f>IF($B330="","",IF($B330+1&gt;dropdown!$D$12,"",I330-J330))</f>
        <v/>
      </c>
      <c r="J331" s="58" t="str">
        <f>IF($B330="","",IF($B330+1&gt;dropdown!$D$12,"",IF(B330&lt;dropdown!$D$13,0,IF(Aflossingsmethode="Lineair",Aflossingsbedrag,IF(Aflossingsmethode="Annuïteit",IFERROR(Bedrag_annuïteit-K331,0),0)))))</f>
        <v/>
      </c>
      <c r="K331" s="58" t="str">
        <f>IF($B330="","",IF($B330+1&gt;dropdown!$D$12,"",G331*I331*Rentekosten))</f>
        <v/>
      </c>
      <c r="L331" s="58" t="str">
        <f t="shared" ref="L331:L369" si="51">IF(S331="","",-K331-J331)</f>
        <v/>
      </c>
      <c r="M331" s="58" t="str">
        <f t="shared" si="45"/>
        <v/>
      </c>
      <c r="N331" s="57"/>
      <c r="O331" s="60" t="str">
        <f t="shared" si="46"/>
        <v/>
      </c>
      <c r="P331" s="60" t="str">
        <f t="shared" si="47"/>
        <v/>
      </c>
      <c r="Q331" s="60" t="str">
        <f t="shared" ref="Q331:Q369" si="52">IF($B331="","",IFERROR(J331/T331-1,0))</f>
        <v/>
      </c>
      <c r="R331" s="57"/>
      <c r="S331" s="58" t="str">
        <f t="shared" si="48"/>
        <v/>
      </c>
      <c r="T331" s="58" t="str">
        <f t="shared" si="49"/>
        <v/>
      </c>
      <c r="U331" s="61" t="str">
        <f t="shared" ref="U331:U369" si="53">IF(S331="","",T331+V331)</f>
        <v/>
      </c>
      <c r="V331" s="58" t="str">
        <f t="shared" si="50"/>
        <v/>
      </c>
      <c r="W331" s="57"/>
    </row>
    <row r="332" spans="1:23" s="59" customFormat="1" x14ac:dyDescent="0.25">
      <c r="A332" s="53"/>
      <c r="B332" s="54" t="str">
        <f>IF($B331="","",IF($B331+1&gt;dropdown!$D$12,"",Schema!B331+1))</f>
        <v/>
      </c>
      <c r="C332" s="55" t="str">
        <f>IF($B331="","",IF($B331+1&gt;dropdown!$D$12,"",EOMONTH(C331,0)+1))</f>
        <v/>
      </c>
      <c r="D332" s="53"/>
      <c r="E332" s="55" t="str">
        <f>IF($B331="","",IF($B331+1&gt;dropdown!$D$12,"",F331+1))</f>
        <v/>
      </c>
      <c r="F332" s="55" t="str">
        <f>IF($B331="","",IF($B331+1&gt;dropdown!$D$12,"",EOMONTH(E332,0)))</f>
        <v/>
      </c>
      <c r="G332" s="56" t="str">
        <f>IF($B331="","",IF($B331+1&gt;dropdown!$D$12,"",(_xlfn.DAYS(F332,E332)+1)/DAY(F332)))</f>
        <v/>
      </c>
      <c r="H332" s="57"/>
      <c r="I332" s="58" t="str">
        <f>IF($B331="","",IF($B331+1&gt;dropdown!$D$12,"",I331-J331))</f>
        <v/>
      </c>
      <c r="J332" s="58" t="str">
        <f>IF($B331="","",IF($B331+1&gt;dropdown!$D$12,"",IF(B331&lt;dropdown!$D$13,0,IF(Aflossingsmethode="Lineair",Aflossingsbedrag,IF(Aflossingsmethode="Annuïteit",IFERROR(Bedrag_annuïteit-K332,0),0)))))</f>
        <v/>
      </c>
      <c r="K332" s="58" t="str">
        <f>IF($B331="","",IF($B331+1&gt;dropdown!$D$12,"",G332*I332*Rentekosten))</f>
        <v/>
      </c>
      <c r="L332" s="58" t="str">
        <f t="shared" si="51"/>
        <v/>
      </c>
      <c r="M332" s="58" t="str">
        <f t="shared" si="45"/>
        <v/>
      </c>
      <c r="N332" s="57"/>
      <c r="O332" s="60" t="str">
        <f t="shared" si="46"/>
        <v/>
      </c>
      <c r="P332" s="60" t="str">
        <f t="shared" si="47"/>
        <v/>
      </c>
      <c r="Q332" s="60" t="str">
        <f t="shared" si="52"/>
        <v/>
      </c>
      <c r="R332" s="57"/>
      <c r="S332" s="58" t="str">
        <f t="shared" si="48"/>
        <v/>
      </c>
      <c r="T332" s="58" t="str">
        <f t="shared" si="49"/>
        <v/>
      </c>
      <c r="U332" s="61" t="str">
        <f t="shared" si="53"/>
        <v/>
      </c>
      <c r="V332" s="58" t="str">
        <f t="shared" si="50"/>
        <v/>
      </c>
      <c r="W332" s="57"/>
    </row>
    <row r="333" spans="1:23" s="59" customFormat="1" x14ac:dyDescent="0.25">
      <c r="A333" s="53"/>
      <c r="B333" s="54" t="str">
        <f>IF($B332="","",IF($B332+1&gt;dropdown!$D$12,"",Schema!B332+1))</f>
        <v/>
      </c>
      <c r="C333" s="55" t="str">
        <f>IF($B332="","",IF($B332+1&gt;dropdown!$D$12,"",EOMONTH(C332,0)+1))</f>
        <v/>
      </c>
      <c r="D333" s="53"/>
      <c r="E333" s="55" t="str">
        <f>IF($B332="","",IF($B332+1&gt;dropdown!$D$12,"",F332+1))</f>
        <v/>
      </c>
      <c r="F333" s="55" t="str">
        <f>IF($B332="","",IF($B332+1&gt;dropdown!$D$12,"",EOMONTH(E333,0)))</f>
        <v/>
      </c>
      <c r="G333" s="56" t="str">
        <f>IF($B332="","",IF($B332+1&gt;dropdown!$D$12,"",(_xlfn.DAYS(F333,E333)+1)/DAY(F333)))</f>
        <v/>
      </c>
      <c r="H333" s="57"/>
      <c r="I333" s="58" t="str">
        <f>IF($B332="","",IF($B332+1&gt;dropdown!$D$12,"",I332-J332))</f>
        <v/>
      </c>
      <c r="J333" s="58" t="str">
        <f>IF($B332="","",IF($B332+1&gt;dropdown!$D$12,"",IF(B332&lt;dropdown!$D$13,0,IF(Aflossingsmethode="Lineair",Aflossingsbedrag,IF(Aflossingsmethode="Annuïteit",IFERROR(Bedrag_annuïteit-K333,0),0)))))</f>
        <v/>
      </c>
      <c r="K333" s="58" t="str">
        <f>IF($B332="","",IF($B332+1&gt;dropdown!$D$12,"",G333*I333*Rentekosten))</f>
        <v/>
      </c>
      <c r="L333" s="58" t="str">
        <f t="shared" si="51"/>
        <v/>
      </c>
      <c r="M333" s="58" t="str">
        <f t="shared" si="45"/>
        <v/>
      </c>
      <c r="N333" s="57"/>
      <c r="O333" s="60" t="str">
        <f t="shared" si="46"/>
        <v/>
      </c>
      <c r="P333" s="60" t="str">
        <f t="shared" si="47"/>
        <v/>
      </c>
      <c r="Q333" s="60" t="str">
        <f t="shared" si="52"/>
        <v/>
      </c>
      <c r="R333" s="57"/>
      <c r="S333" s="58" t="str">
        <f t="shared" si="48"/>
        <v/>
      </c>
      <c r="T333" s="58" t="str">
        <f t="shared" si="49"/>
        <v/>
      </c>
      <c r="U333" s="61" t="str">
        <f t="shared" si="53"/>
        <v/>
      </c>
      <c r="V333" s="58" t="str">
        <f t="shared" si="50"/>
        <v/>
      </c>
      <c r="W333" s="57"/>
    </row>
    <row r="334" spans="1:23" s="59" customFormat="1" x14ac:dyDescent="0.25">
      <c r="A334" s="53"/>
      <c r="B334" s="54" t="str">
        <f>IF($B333="","",IF($B333+1&gt;dropdown!$D$12,"",Schema!B333+1))</f>
        <v/>
      </c>
      <c r="C334" s="55" t="str">
        <f>IF($B333="","",IF($B333+1&gt;dropdown!$D$12,"",EOMONTH(C333,0)+1))</f>
        <v/>
      </c>
      <c r="D334" s="53"/>
      <c r="E334" s="55" t="str">
        <f>IF($B333="","",IF($B333+1&gt;dropdown!$D$12,"",F333+1))</f>
        <v/>
      </c>
      <c r="F334" s="55" t="str">
        <f>IF($B333="","",IF($B333+1&gt;dropdown!$D$12,"",EOMONTH(E334,0)))</f>
        <v/>
      </c>
      <c r="G334" s="56" t="str">
        <f>IF($B333="","",IF($B333+1&gt;dropdown!$D$12,"",(_xlfn.DAYS(F334,E334)+1)/DAY(F334)))</f>
        <v/>
      </c>
      <c r="H334" s="57"/>
      <c r="I334" s="58" t="str">
        <f>IF($B333="","",IF($B333+1&gt;dropdown!$D$12,"",I333-J333))</f>
        <v/>
      </c>
      <c r="J334" s="58" t="str">
        <f>IF($B333="","",IF($B333+1&gt;dropdown!$D$12,"",IF(B333&lt;dropdown!$D$13,0,IF(Aflossingsmethode="Lineair",Aflossingsbedrag,IF(Aflossingsmethode="Annuïteit",IFERROR(Bedrag_annuïteit-K334,0),0)))))</f>
        <v/>
      </c>
      <c r="K334" s="58" t="str">
        <f>IF($B333="","",IF($B333+1&gt;dropdown!$D$12,"",G334*I334*Rentekosten))</f>
        <v/>
      </c>
      <c r="L334" s="58" t="str">
        <f t="shared" si="51"/>
        <v/>
      </c>
      <c r="M334" s="58" t="str">
        <f t="shared" si="45"/>
        <v/>
      </c>
      <c r="N334" s="57"/>
      <c r="O334" s="60" t="str">
        <f t="shared" si="46"/>
        <v/>
      </c>
      <c r="P334" s="60" t="str">
        <f t="shared" si="47"/>
        <v/>
      </c>
      <c r="Q334" s="60" t="str">
        <f t="shared" si="52"/>
        <v/>
      </c>
      <c r="R334" s="57"/>
      <c r="S334" s="58" t="str">
        <f t="shared" si="48"/>
        <v/>
      </c>
      <c r="T334" s="58" t="str">
        <f t="shared" si="49"/>
        <v/>
      </c>
      <c r="U334" s="61" t="str">
        <f t="shared" si="53"/>
        <v/>
      </c>
      <c r="V334" s="58" t="str">
        <f t="shared" si="50"/>
        <v/>
      </c>
      <c r="W334" s="57"/>
    </row>
    <row r="335" spans="1:23" s="59" customFormat="1" x14ac:dyDescent="0.25">
      <c r="A335" s="53"/>
      <c r="B335" s="54" t="str">
        <f>IF($B334="","",IF($B334+1&gt;dropdown!$D$12,"",Schema!B334+1))</f>
        <v/>
      </c>
      <c r="C335" s="55" t="str">
        <f>IF($B334="","",IF($B334+1&gt;dropdown!$D$12,"",EOMONTH(C334,0)+1))</f>
        <v/>
      </c>
      <c r="D335" s="53"/>
      <c r="E335" s="55" t="str">
        <f>IF($B334="","",IF($B334+1&gt;dropdown!$D$12,"",F334+1))</f>
        <v/>
      </c>
      <c r="F335" s="55" t="str">
        <f>IF($B334="","",IF($B334+1&gt;dropdown!$D$12,"",EOMONTH(E335,0)))</f>
        <v/>
      </c>
      <c r="G335" s="56" t="str">
        <f>IF($B334="","",IF($B334+1&gt;dropdown!$D$12,"",(_xlfn.DAYS(F335,E335)+1)/DAY(F335)))</f>
        <v/>
      </c>
      <c r="H335" s="57"/>
      <c r="I335" s="58" t="str">
        <f>IF($B334="","",IF($B334+1&gt;dropdown!$D$12,"",I334-J334))</f>
        <v/>
      </c>
      <c r="J335" s="58" t="str">
        <f>IF($B334="","",IF($B334+1&gt;dropdown!$D$12,"",IF(B334&lt;dropdown!$D$13,0,IF(Aflossingsmethode="Lineair",Aflossingsbedrag,IF(Aflossingsmethode="Annuïteit",IFERROR(Bedrag_annuïteit-K335,0),0)))))</f>
        <v/>
      </c>
      <c r="K335" s="58" t="str">
        <f>IF($B334="","",IF($B334+1&gt;dropdown!$D$12,"",G335*I335*Rentekosten))</f>
        <v/>
      </c>
      <c r="L335" s="58" t="str">
        <f t="shared" si="51"/>
        <v/>
      </c>
      <c r="M335" s="58" t="str">
        <f t="shared" si="45"/>
        <v/>
      </c>
      <c r="N335" s="57"/>
      <c r="O335" s="60" t="str">
        <f t="shared" si="46"/>
        <v/>
      </c>
      <c r="P335" s="60" t="str">
        <f t="shared" si="47"/>
        <v/>
      </c>
      <c r="Q335" s="60" t="str">
        <f t="shared" si="52"/>
        <v/>
      </c>
      <c r="R335" s="57"/>
      <c r="S335" s="58" t="str">
        <f t="shared" si="48"/>
        <v/>
      </c>
      <c r="T335" s="58" t="str">
        <f t="shared" si="49"/>
        <v/>
      </c>
      <c r="U335" s="61" t="str">
        <f t="shared" si="53"/>
        <v/>
      </c>
      <c r="V335" s="58" t="str">
        <f t="shared" si="50"/>
        <v/>
      </c>
      <c r="W335" s="57"/>
    </row>
    <row r="336" spans="1:23" s="59" customFormat="1" x14ac:dyDescent="0.25">
      <c r="A336" s="53"/>
      <c r="B336" s="54" t="str">
        <f>IF($B335="","",IF($B335+1&gt;dropdown!$D$12,"",Schema!B335+1))</f>
        <v/>
      </c>
      <c r="C336" s="55" t="str">
        <f>IF($B335="","",IF($B335+1&gt;dropdown!$D$12,"",EOMONTH(C335,0)+1))</f>
        <v/>
      </c>
      <c r="D336" s="53"/>
      <c r="E336" s="55" t="str">
        <f>IF($B335="","",IF($B335+1&gt;dropdown!$D$12,"",F335+1))</f>
        <v/>
      </c>
      <c r="F336" s="55" t="str">
        <f>IF($B335="","",IF($B335+1&gt;dropdown!$D$12,"",EOMONTH(E336,0)))</f>
        <v/>
      </c>
      <c r="G336" s="56" t="str">
        <f>IF($B335="","",IF($B335+1&gt;dropdown!$D$12,"",(_xlfn.DAYS(F336,E336)+1)/DAY(F336)))</f>
        <v/>
      </c>
      <c r="H336" s="57"/>
      <c r="I336" s="58" t="str">
        <f>IF($B335="","",IF($B335+1&gt;dropdown!$D$12,"",I335-J335))</f>
        <v/>
      </c>
      <c r="J336" s="58" t="str">
        <f>IF($B335="","",IF($B335+1&gt;dropdown!$D$12,"",IF(B335&lt;dropdown!$D$13,0,IF(Aflossingsmethode="Lineair",Aflossingsbedrag,IF(Aflossingsmethode="Annuïteit",IFERROR(Bedrag_annuïteit-K336,0),0)))))</f>
        <v/>
      </c>
      <c r="K336" s="58" t="str">
        <f>IF($B335="","",IF($B335+1&gt;dropdown!$D$12,"",G336*I336*Rentekosten))</f>
        <v/>
      </c>
      <c r="L336" s="58" t="str">
        <f t="shared" si="51"/>
        <v/>
      </c>
      <c r="M336" s="58" t="str">
        <f t="shared" si="45"/>
        <v/>
      </c>
      <c r="N336" s="57"/>
      <c r="O336" s="60" t="str">
        <f t="shared" si="46"/>
        <v/>
      </c>
      <c r="P336" s="60" t="str">
        <f t="shared" si="47"/>
        <v/>
      </c>
      <c r="Q336" s="60" t="str">
        <f t="shared" si="52"/>
        <v/>
      </c>
      <c r="R336" s="57"/>
      <c r="S336" s="58" t="str">
        <f t="shared" si="48"/>
        <v/>
      </c>
      <c r="T336" s="58" t="str">
        <f t="shared" si="49"/>
        <v/>
      </c>
      <c r="U336" s="61" t="str">
        <f t="shared" si="53"/>
        <v/>
      </c>
      <c r="V336" s="58" t="str">
        <f t="shared" si="50"/>
        <v/>
      </c>
      <c r="W336" s="57"/>
    </row>
    <row r="337" spans="1:23" s="59" customFormat="1" x14ac:dyDescent="0.25">
      <c r="A337" s="53"/>
      <c r="B337" s="54" t="str">
        <f>IF($B336="","",IF($B336+1&gt;dropdown!$D$12,"",Schema!B336+1))</f>
        <v/>
      </c>
      <c r="C337" s="55" t="str">
        <f>IF($B336="","",IF($B336+1&gt;dropdown!$D$12,"",EOMONTH(C336,0)+1))</f>
        <v/>
      </c>
      <c r="D337" s="53"/>
      <c r="E337" s="55" t="str">
        <f>IF($B336="","",IF($B336+1&gt;dropdown!$D$12,"",F336+1))</f>
        <v/>
      </c>
      <c r="F337" s="55" t="str">
        <f>IF($B336="","",IF($B336+1&gt;dropdown!$D$12,"",EOMONTH(E337,0)))</f>
        <v/>
      </c>
      <c r="G337" s="56" t="str">
        <f>IF($B336="","",IF($B336+1&gt;dropdown!$D$12,"",(_xlfn.DAYS(F337,E337)+1)/DAY(F337)))</f>
        <v/>
      </c>
      <c r="H337" s="57"/>
      <c r="I337" s="58" t="str">
        <f>IF($B336="","",IF($B336+1&gt;dropdown!$D$12,"",I336-J336))</f>
        <v/>
      </c>
      <c r="J337" s="58" t="str">
        <f>IF($B336="","",IF($B336+1&gt;dropdown!$D$12,"",IF(B336&lt;dropdown!$D$13,0,IF(Aflossingsmethode="Lineair",Aflossingsbedrag,IF(Aflossingsmethode="Annuïteit",IFERROR(Bedrag_annuïteit-K337,0),0)))))</f>
        <v/>
      </c>
      <c r="K337" s="58" t="str">
        <f>IF($B336="","",IF($B336+1&gt;dropdown!$D$12,"",G337*I337*Rentekosten))</f>
        <v/>
      </c>
      <c r="L337" s="58" t="str">
        <f t="shared" si="51"/>
        <v/>
      </c>
      <c r="M337" s="58" t="str">
        <f t="shared" si="45"/>
        <v/>
      </c>
      <c r="N337" s="57"/>
      <c r="O337" s="60" t="str">
        <f t="shared" si="46"/>
        <v/>
      </c>
      <c r="P337" s="60" t="str">
        <f t="shared" si="47"/>
        <v/>
      </c>
      <c r="Q337" s="60" t="str">
        <f t="shared" si="52"/>
        <v/>
      </c>
      <c r="R337" s="57"/>
      <c r="S337" s="58" t="str">
        <f t="shared" si="48"/>
        <v/>
      </c>
      <c r="T337" s="58" t="str">
        <f t="shared" si="49"/>
        <v/>
      </c>
      <c r="U337" s="61" t="str">
        <f t="shared" si="53"/>
        <v/>
      </c>
      <c r="V337" s="58" t="str">
        <f t="shared" si="50"/>
        <v/>
      </c>
      <c r="W337" s="57"/>
    </row>
    <row r="338" spans="1:23" s="59" customFormat="1" x14ac:dyDescent="0.25">
      <c r="A338" s="53"/>
      <c r="B338" s="54" t="str">
        <f>IF($B337="","",IF($B337+1&gt;dropdown!$D$12,"",Schema!B337+1))</f>
        <v/>
      </c>
      <c r="C338" s="55" t="str">
        <f>IF($B337="","",IF($B337+1&gt;dropdown!$D$12,"",EOMONTH(C337,0)+1))</f>
        <v/>
      </c>
      <c r="D338" s="53"/>
      <c r="E338" s="55" t="str">
        <f>IF($B337="","",IF($B337+1&gt;dropdown!$D$12,"",F337+1))</f>
        <v/>
      </c>
      <c r="F338" s="55" t="str">
        <f>IF($B337="","",IF($B337+1&gt;dropdown!$D$12,"",EOMONTH(E338,0)))</f>
        <v/>
      </c>
      <c r="G338" s="56" t="str">
        <f>IF($B337="","",IF($B337+1&gt;dropdown!$D$12,"",(_xlfn.DAYS(F338,E338)+1)/DAY(F338)))</f>
        <v/>
      </c>
      <c r="H338" s="57"/>
      <c r="I338" s="58" t="str">
        <f>IF($B337="","",IF($B337+1&gt;dropdown!$D$12,"",I337-J337))</f>
        <v/>
      </c>
      <c r="J338" s="58" t="str">
        <f>IF($B337="","",IF($B337+1&gt;dropdown!$D$12,"",IF(B337&lt;dropdown!$D$13,0,IF(Aflossingsmethode="Lineair",Aflossingsbedrag,IF(Aflossingsmethode="Annuïteit",IFERROR(Bedrag_annuïteit-K338,0),0)))))</f>
        <v/>
      </c>
      <c r="K338" s="58" t="str">
        <f>IF($B337="","",IF($B337+1&gt;dropdown!$D$12,"",G338*I338*Rentekosten))</f>
        <v/>
      </c>
      <c r="L338" s="58" t="str">
        <f t="shared" si="51"/>
        <v/>
      </c>
      <c r="M338" s="58" t="str">
        <f t="shared" si="45"/>
        <v/>
      </c>
      <c r="N338" s="57"/>
      <c r="O338" s="60" t="str">
        <f t="shared" si="46"/>
        <v/>
      </c>
      <c r="P338" s="60" t="str">
        <f t="shared" si="47"/>
        <v/>
      </c>
      <c r="Q338" s="60" t="str">
        <f t="shared" si="52"/>
        <v/>
      </c>
      <c r="R338" s="57"/>
      <c r="S338" s="58" t="str">
        <f t="shared" si="48"/>
        <v/>
      </c>
      <c r="T338" s="58" t="str">
        <f t="shared" si="49"/>
        <v/>
      </c>
      <c r="U338" s="61" t="str">
        <f t="shared" si="53"/>
        <v/>
      </c>
      <c r="V338" s="58" t="str">
        <f t="shared" si="50"/>
        <v/>
      </c>
      <c r="W338" s="57"/>
    </row>
    <row r="339" spans="1:23" s="59" customFormat="1" x14ac:dyDescent="0.25">
      <c r="A339" s="53"/>
      <c r="B339" s="54" t="str">
        <f>IF($B338="","",IF($B338+1&gt;dropdown!$D$12,"",Schema!B338+1))</f>
        <v/>
      </c>
      <c r="C339" s="55" t="str">
        <f>IF($B338="","",IF($B338+1&gt;dropdown!$D$12,"",EOMONTH(C338,0)+1))</f>
        <v/>
      </c>
      <c r="D339" s="53"/>
      <c r="E339" s="55" t="str">
        <f>IF($B338="","",IF($B338+1&gt;dropdown!$D$12,"",F338+1))</f>
        <v/>
      </c>
      <c r="F339" s="55" t="str">
        <f>IF($B338="","",IF($B338+1&gt;dropdown!$D$12,"",EOMONTH(E339,0)))</f>
        <v/>
      </c>
      <c r="G339" s="56" t="str">
        <f>IF($B338="","",IF($B338+1&gt;dropdown!$D$12,"",(_xlfn.DAYS(F339,E339)+1)/DAY(F339)))</f>
        <v/>
      </c>
      <c r="H339" s="57"/>
      <c r="I339" s="58" t="str">
        <f>IF($B338="","",IF($B338+1&gt;dropdown!$D$12,"",I338-J338))</f>
        <v/>
      </c>
      <c r="J339" s="58" t="str">
        <f>IF($B338="","",IF($B338+1&gt;dropdown!$D$12,"",IF(B338&lt;dropdown!$D$13,0,IF(Aflossingsmethode="Lineair",Aflossingsbedrag,IF(Aflossingsmethode="Annuïteit",IFERROR(Bedrag_annuïteit-K339,0),0)))))</f>
        <v/>
      </c>
      <c r="K339" s="58" t="str">
        <f>IF($B338="","",IF($B338+1&gt;dropdown!$D$12,"",G339*I339*Rentekosten))</f>
        <v/>
      </c>
      <c r="L339" s="58" t="str">
        <f t="shared" si="51"/>
        <v/>
      </c>
      <c r="M339" s="58" t="str">
        <f t="shared" si="45"/>
        <v/>
      </c>
      <c r="N339" s="57"/>
      <c r="O339" s="60" t="str">
        <f t="shared" si="46"/>
        <v/>
      </c>
      <c r="P339" s="60" t="str">
        <f t="shared" si="47"/>
        <v/>
      </c>
      <c r="Q339" s="60" t="str">
        <f t="shared" si="52"/>
        <v/>
      </c>
      <c r="R339" s="57"/>
      <c r="S339" s="58" t="str">
        <f t="shared" si="48"/>
        <v/>
      </c>
      <c r="T339" s="58" t="str">
        <f t="shared" si="49"/>
        <v/>
      </c>
      <c r="U339" s="61" t="str">
        <f t="shared" si="53"/>
        <v/>
      </c>
      <c r="V339" s="58" t="str">
        <f t="shared" si="50"/>
        <v/>
      </c>
      <c r="W339" s="57"/>
    </row>
    <row r="340" spans="1:23" s="59" customFormat="1" x14ac:dyDescent="0.25">
      <c r="A340" s="53"/>
      <c r="B340" s="54" t="str">
        <f>IF($B339="","",IF($B339+1&gt;dropdown!$D$12,"",Schema!B339+1))</f>
        <v/>
      </c>
      <c r="C340" s="55" t="str">
        <f>IF($B339="","",IF($B339+1&gt;dropdown!$D$12,"",EOMONTH(C339,0)+1))</f>
        <v/>
      </c>
      <c r="D340" s="53"/>
      <c r="E340" s="55" t="str">
        <f>IF($B339="","",IF($B339+1&gt;dropdown!$D$12,"",F339+1))</f>
        <v/>
      </c>
      <c r="F340" s="55" t="str">
        <f>IF($B339="","",IF($B339+1&gt;dropdown!$D$12,"",EOMONTH(E340,0)))</f>
        <v/>
      </c>
      <c r="G340" s="56" t="str">
        <f>IF($B339="","",IF($B339+1&gt;dropdown!$D$12,"",(_xlfn.DAYS(F340,E340)+1)/DAY(F340)))</f>
        <v/>
      </c>
      <c r="H340" s="57"/>
      <c r="I340" s="58" t="str">
        <f>IF($B339="","",IF($B339+1&gt;dropdown!$D$12,"",I339-J339))</f>
        <v/>
      </c>
      <c r="J340" s="58" t="str">
        <f>IF($B339="","",IF($B339+1&gt;dropdown!$D$12,"",IF(B339&lt;dropdown!$D$13,0,IF(Aflossingsmethode="Lineair",Aflossingsbedrag,IF(Aflossingsmethode="Annuïteit",IFERROR(Bedrag_annuïteit-K340,0),0)))))</f>
        <v/>
      </c>
      <c r="K340" s="58" t="str">
        <f>IF($B339="","",IF($B339+1&gt;dropdown!$D$12,"",G340*I340*Rentekosten))</f>
        <v/>
      </c>
      <c r="L340" s="58" t="str">
        <f t="shared" si="51"/>
        <v/>
      </c>
      <c r="M340" s="58" t="str">
        <f t="shared" si="45"/>
        <v/>
      </c>
      <c r="N340" s="57"/>
      <c r="O340" s="60" t="str">
        <f t="shared" si="46"/>
        <v/>
      </c>
      <c r="P340" s="60" t="str">
        <f t="shared" si="47"/>
        <v/>
      </c>
      <c r="Q340" s="60" t="str">
        <f t="shared" si="52"/>
        <v/>
      </c>
      <c r="R340" s="57"/>
      <c r="S340" s="58" t="str">
        <f t="shared" si="48"/>
        <v/>
      </c>
      <c r="T340" s="58" t="str">
        <f t="shared" si="49"/>
        <v/>
      </c>
      <c r="U340" s="61" t="str">
        <f t="shared" si="53"/>
        <v/>
      </c>
      <c r="V340" s="58" t="str">
        <f t="shared" si="50"/>
        <v/>
      </c>
      <c r="W340" s="57"/>
    </row>
    <row r="341" spans="1:23" s="59" customFormat="1" x14ac:dyDescent="0.25">
      <c r="A341" s="53"/>
      <c r="B341" s="54" t="str">
        <f>IF($B340="","",IF($B340+1&gt;dropdown!$D$12,"",Schema!B340+1))</f>
        <v/>
      </c>
      <c r="C341" s="55" t="str">
        <f>IF($B340="","",IF($B340+1&gt;dropdown!$D$12,"",EOMONTH(C340,0)+1))</f>
        <v/>
      </c>
      <c r="D341" s="53"/>
      <c r="E341" s="55" t="str">
        <f>IF($B340="","",IF($B340+1&gt;dropdown!$D$12,"",F340+1))</f>
        <v/>
      </c>
      <c r="F341" s="55" t="str">
        <f>IF($B340="","",IF($B340+1&gt;dropdown!$D$12,"",EOMONTH(E341,0)))</f>
        <v/>
      </c>
      <c r="G341" s="56" t="str">
        <f>IF($B340="","",IF($B340+1&gt;dropdown!$D$12,"",(_xlfn.DAYS(F341,E341)+1)/DAY(F341)))</f>
        <v/>
      </c>
      <c r="H341" s="57"/>
      <c r="I341" s="58" t="str">
        <f>IF($B340="","",IF($B340+1&gt;dropdown!$D$12,"",I340-J340))</f>
        <v/>
      </c>
      <c r="J341" s="58" t="str">
        <f>IF($B340="","",IF($B340+1&gt;dropdown!$D$12,"",IF(B340&lt;dropdown!$D$13,0,IF(Aflossingsmethode="Lineair",Aflossingsbedrag,IF(Aflossingsmethode="Annuïteit",IFERROR(Bedrag_annuïteit-K341,0),0)))))</f>
        <v/>
      </c>
      <c r="K341" s="58" t="str">
        <f>IF($B340="","",IF($B340+1&gt;dropdown!$D$12,"",G341*I341*Rentekosten))</f>
        <v/>
      </c>
      <c r="L341" s="58" t="str">
        <f t="shared" si="51"/>
        <v/>
      </c>
      <c r="M341" s="58" t="str">
        <f t="shared" si="45"/>
        <v/>
      </c>
      <c r="N341" s="57"/>
      <c r="O341" s="60" t="str">
        <f t="shared" si="46"/>
        <v/>
      </c>
      <c r="P341" s="60" t="str">
        <f t="shared" si="47"/>
        <v/>
      </c>
      <c r="Q341" s="60" t="str">
        <f t="shared" si="52"/>
        <v/>
      </c>
      <c r="R341" s="57"/>
      <c r="S341" s="58" t="str">
        <f t="shared" si="48"/>
        <v/>
      </c>
      <c r="T341" s="58" t="str">
        <f t="shared" si="49"/>
        <v/>
      </c>
      <c r="U341" s="61" t="str">
        <f t="shared" si="53"/>
        <v/>
      </c>
      <c r="V341" s="58" t="str">
        <f t="shared" si="50"/>
        <v/>
      </c>
      <c r="W341" s="57"/>
    </row>
    <row r="342" spans="1:23" s="59" customFormat="1" x14ac:dyDescent="0.25">
      <c r="A342" s="53"/>
      <c r="B342" s="54" t="str">
        <f>IF($B341="","",IF($B341+1&gt;dropdown!$D$12,"",Schema!B341+1))</f>
        <v/>
      </c>
      <c r="C342" s="55" t="str">
        <f>IF($B341="","",IF($B341+1&gt;dropdown!$D$12,"",EOMONTH(C341,0)+1))</f>
        <v/>
      </c>
      <c r="D342" s="53"/>
      <c r="E342" s="55" t="str">
        <f>IF($B341="","",IF($B341+1&gt;dropdown!$D$12,"",F341+1))</f>
        <v/>
      </c>
      <c r="F342" s="55" t="str">
        <f>IF($B341="","",IF($B341+1&gt;dropdown!$D$12,"",EOMONTH(E342,0)))</f>
        <v/>
      </c>
      <c r="G342" s="56" t="str">
        <f>IF($B341="","",IF($B341+1&gt;dropdown!$D$12,"",(_xlfn.DAYS(F342,E342)+1)/DAY(F342)))</f>
        <v/>
      </c>
      <c r="H342" s="57"/>
      <c r="I342" s="58" t="str">
        <f>IF($B341="","",IF($B341+1&gt;dropdown!$D$12,"",I341-J341))</f>
        <v/>
      </c>
      <c r="J342" s="58" t="str">
        <f>IF($B341="","",IF($B341+1&gt;dropdown!$D$12,"",IF(B341&lt;dropdown!$D$13,0,IF(Aflossingsmethode="Lineair",Aflossingsbedrag,IF(Aflossingsmethode="Annuïteit",IFERROR(Bedrag_annuïteit-K342,0),0)))))</f>
        <v/>
      </c>
      <c r="K342" s="58" t="str">
        <f>IF($B341="","",IF($B341+1&gt;dropdown!$D$12,"",G342*I342*Rentekosten))</f>
        <v/>
      </c>
      <c r="L342" s="58" t="str">
        <f t="shared" si="51"/>
        <v/>
      </c>
      <c r="M342" s="58" t="str">
        <f t="shared" si="45"/>
        <v/>
      </c>
      <c r="N342" s="57"/>
      <c r="O342" s="60" t="str">
        <f t="shared" si="46"/>
        <v/>
      </c>
      <c r="P342" s="60" t="str">
        <f t="shared" si="47"/>
        <v/>
      </c>
      <c r="Q342" s="60" t="str">
        <f t="shared" si="52"/>
        <v/>
      </c>
      <c r="R342" s="57"/>
      <c r="S342" s="58" t="str">
        <f t="shared" si="48"/>
        <v/>
      </c>
      <c r="T342" s="58" t="str">
        <f t="shared" si="49"/>
        <v/>
      </c>
      <c r="U342" s="61" t="str">
        <f t="shared" si="53"/>
        <v/>
      </c>
      <c r="V342" s="58" t="str">
        <f t="shared" si="50"/>
        <v/>
      </c>
      <c r="W342" s="57"/>
    </row>
    <row r="343" spans="1:23" s="59" customFormat="1" x14ac:dyDescent="0.25">
      <c r="A343" s="53"/>
      <c r="B343" s="54" t="str">
        <f>IF($B342="","",IF($B342+1&gt;dropdown!$D$12,"",Schema!B342+1))</f>
        <v/>
      </c>
      <c r="C343" s="55" t="str">
        <f>IF($B342="","",IF($B342+1&gt;dropdown!$D$12,"",EOMONTH(C342,0)+1))</f>
        <v/>
      </c>
      <c r="D343" s="53"/>
      <c r="E343" s="55" t="str">
        <f>IF($B342="","",IF($B342+1&gt;dropdown!$D$12,"",F342+1))</f>
        <v/>
      </c>
      <c r="F343" s="55" t="str">
        <f>IF($B342="","",IF($B342+1&gt;dropdown!$D$12,"",EOMONTH(E343,0)))</f>
        <v/>
      </c>
      <c r="G343" s="56" t="str">
        <f>IF($B342="","",IF($B342+1&gt;dropdown!$D$12,"",(_xlfn.DAYS(F343,E343)+1)/DAY(F343)))</f>
        <v/>
      </c>
      <c r="H343" s="57"/>
      <c r="I343" s="58" t="str">
        <f>IF($B342="","",IF($B342+1&gt;dropdown!$D$12,"",I342-J342))</f>
        <v/>
      </c>
      <c r="J343" s="58" t="str">
        <f>IF($B342="","",IF($B342+1&gt;dropdown!$D$12,"",IF(B342&lt;dropdown!$D$13,0,IF(Aflossingsmethode="Lineair",Aflossingsbedrag,IF(Aflossingsmethode="Annuïteit",IFERROR(Bedrag_annuïteit-K343,0),0)))))</f>
        <v/>
      </c>
      <c r="K343" s="58" t="str">
        <f>IF($B342="","",IF($B342+1&gt;dropdown!$D$12,"",G343*I343*Rentekosten))</f>
        <v/>
      </c>
      <c r="L343" s="58" t="str">
        <f t="shared" si="51"/>
        <v/>
      </c>
      <c r="M343" s="58" t="str">
        <f t="shared" si="45"/>
        <v/>
      </c>
      <c r="N343" s="57"/>
      <c r="O343" s="60" t="str">
        <f t="shared" si="46"/>
        <v/>
      </c>
      <c r="P343" s="60" t="str">
        <f t="shared" si="47"/>
        <v/>
      </c>
      <c r="Q343" s="60" t="str">
        <f t="shared" si="52"/>
        <v/>
      </c>
      <c r="R343" s="57"/>
      <c r="S343" s="58" t="str">
        <f t="shared" si="48"/>
        <v/>
      </c>
      <c r="T343" s="58" t="str">
        <f t="shared" si="49"/>
        <v/>
      </c>
      <c r="U343" s="61" t="str">
        <f t="shared" si="53"/>
        <v/>
      </c>
      <c r="V343" s="58" t="str">
        <f t="shared" si="50"/>
        <v/>
      </c>
      <c r="W343" s="57"/>
    </row>
    <row r="344" spans="1:23" s="59" customFormat="1" x14ac:dyDescent="0.25">
      <c r="A344" s="53"/>
      <c r="B344" s="54" t="str">
        <f>IF($B343="","",IF($B343+1&gt;dropdown!$D$12,"",Schema!B343+1))</f>
        <v/>
      </c>
      <c r="C344" s="55" t="str">
        <f>IF($B343="","",IF($B343+1&gt;dropdown!$D$12,"",EOMONTH(C343,0)+1))</f>
        <v/>
      </c>
      <c r="D344" s="53"/>
      <c r="E344" s="55" t="str">
        <f>IF($B343="","",IF($B343+1&gt;dropdown!$D$12,"",F343+1))</f>
        <v/>
      </c>
      <c r="F344" s="55" t="str">
        <f>IF($B343="","",IF($B343+1&gt;dropdown!$D$12,"",EOMONTH(E344,0)))</f>
        <v/>
      </c>
      <c r="G344" s="56" t="str">
        <f>IF($B343="","",IF($B343+1&gt;dropdown!$D$12,"",(_xlfn.DAYS(F344,E344)+1)/DAY(F344)))</f>
        <v/>
      </c>
      <c r="H344" s="57"/>
      <c r="I344" s="58" t="str">
        <f>IF($B343="","",IF($B343+1&gt;dropdown!$D$12,"",I343-J343))</f>
        <v/>
      </c>
      <c r="J344" s="58" t="str">
        <f>IF($B343="","",IF($B343+1&gt;dropdown!$D$12,"",IF(B343&lt;dropdown!$D$13,0,IF(Aflossingsmethode="Lineair",Aflossingsbedrag,IF(Aflossingsmethode="Annuïteit",IFERROR(Bedrag_annuïteit-K344,0),0)))))</f>
        <v/>
      </c>
      <c r="K344" s="58" t="str">
        <f>IF($B343="","",IF($B343+1&gt;dropdown!$D$12,"",G344*I344*Rentekosten))</f>
        <v/>
      </c>
      <c r="L344" s="58" t="str">
        <f t="shared" si="51"/>
        <v/>
      </c>
      <c r="M344" s="58" t="str">
        <f t="shared" si="45"/>
        <v/>
      </c>
      <c r="N344" s="57"/>
      <c r="O344" s="60" t="str">
        <f t="shared" si="46"/>
        <v/>
      </c>
      <c r="P344" s="60" t="str">
        <f t="shared" si="47"/>
        <v/>
      </c>
      <c r="Q344" s="60" t="str">
        <f t="shared" si="52"/>
        <v/>
      </c>
      <c r="R344" s="57"/>
      <c r="S344" s="58" t="str">
        <f t="shared" si="48"/>
        <v/>
      </c>
      <c r="T344" s="58" t="str">
        <f t="shared" si="49"/>
        <v/>
      </c>
      <c r="U344" s="61" t="str">
        <f t="shared" si="53"/>
        <v/>
      </c>
      <c r="V344" s="58" t="str">
        <f t="shared" si="50"/>
        <v/>
      </c>
      <c r="W344" s="57"/>
    </row>
    <row r="345" spans="1:23" s="59" customFormat="1" x14ac:dyDescent="0.25">
      <c r="A345" s="53"/>
      <c r="B345" s="54" t="str">
        <f>IF($B344="","",IF($B344+1&gt;dropdown!$D$12,"",Schema!B344+1))</f>
        <v/>
      </c>
      <c r="C345" s="55" t="str">
        <f>IF($B344="","",IF($B344+1&gt;dropdown!$D$12,"",EOMONTH(C344,0)+1))</f>
        <v/>
      </c>
      <c r="D345" s="53"/>
      <c r="E345" s="55" t="str">
        <f>IF($B344="","",IF($B344+1&gt;dropdown!$D$12,"",F344+1))</f>
        <v/>
      </c>
      <c r="F345" s="55" t="str">
        <f>IF($B344="","",IF($B344+1&gt;dropdown!$D$12,"",EOMONTH(E345,0)))</f>
        <v/>
      </c>
      <c r="G345" s="56" t="str">
        <f>IF($B344="","",IF($B344+1&gt;dropdown!$D$12,"",(_xlfn.DAYS(F345,E345)+1)/DAY(F345)))</f>
        <v/>
      </c>
      <c r="H345" s="57"/>
      <c r="I345" s="58" t="str">
        <f>IF($B344="","",IF($B344+1&gt;dropdown!$D$12,"",I344-J344))</f>
        <v/>
      </c>
      <c r="J345" s="58" t="str">
        <f>IF($B344="","",IF($B344+1&gt;dropdown!$D$12,"",IF(B344&lt;dropdown!$D$13,0,IF(Aflossingsmethode="Lineair",Aflossingsbedrag,IF(Aflossingsmethode="Annuïteit",IFERROR(Bedrag_annuïteit-K345,0),0)))))</f>
        <v/>
      </c>
      <c r="K345" s="58" t="str">
        <f>IF($B344="","",IF($B344+1&gt;dropdown!$D$12,"",G345*I345*Rentekosten))</f>
        <v/>
      </c>
      <c r="L345" s="58" t="str">
        <f t="shared" si="51"/>
        <v/>
      </c>
      <c r="M345" s="58" t="str">
        <f t="shared" si="45"/>
        <v/>
      </c>
      <c r="N345" s="57"/>
      <c r="O345" s="60" t="str">
        <f t="shared" si="46"/>
        <v/>
      </c>
      <c r="P345" s="60" t="str">
        <f t="shared" si="47"/>
        <v/>
      </c>
      <c r="Q345" s="60" t="str">
        <f t="shared" si="52"/>
        <v/>
      </c>
      <c r="R345" s="57"/>
      <c r="S345" s="58" t="str">
        <f t="shared" si="48"/>
        <v/>
      </c>
      <c r="T345" s="58" t="str">
        <f t="shared" si="49"/>
        <v/>
      </c>
      <c r="U345" s="61" t="str">
        <f t="shared" si="53"/>
        <v/>
      </c>
      <c r="V345" s="58" t="str">
        <f t="shared" si="50"/>
        <v/>
      </c>
      <c r="W345" s="57"/>
    </row>
    <row r="346" spans="1:23" s="59" customFormat="1" x14ac:dyDescent="0.25">
      <c r="A346" s="53"/>
      <c r="B346" s="54" t="str">
        <f>IF($B345="","",IF($B345+1&gt;dropdown!$D$12,"",Schema!B345+1))</f>
        <v/>
      </c>
      <c r="C346" s="55" t="str">
        <f>IF($B345="","",IF($B345+1&gt;dropdown!$D$12,"",EOMONTH(C345,0)+1))</f>
        <v/>
      </c>
      <c r="D346" s="53"/>
      <c r="E346" s="55" t="str">
        <f>IF($B345="","",IF($B345+1&gt;dropdown!$D$12,"",F345+1))</f>
        <v/>
      </c>
      <c r="F346" s="55" t="str">
        <f>IF($B345="","",IF($B345+1&gt;dropdown!$D$12,"",EOMONTH(E346,0)))</f>
        <v/>
      </c>
      <c r="G346" s="56" t="str">
        <f>IF($B345="","",IF($B345+1&gt;dropdown!$D$12,"",(_xlfn.DAYS(F346,E346)+1)/DAY(F346)))</f>
        <v/>
      </c>
      <c r="H346" s="57"/>
      <c r="I346" s="58" t="str">
        <f>IF($B345="","",IF($B345+1&gt;dropdown!$D$12,"",I345-J345))</f>
        <v/>
      </c>
      <c r="J346" s="58" t="str">
        <f>IF($B345="","",IF($B345+1&gt;dropdown!$D$12,"",IF(B345&lt;dropdown!$D$13,0,IF(Aflossingsmethode="Lineair",Aflossingsbedrag,IF(Aflossingsmethode="Annuïteit",IFERROR(Bedrag_annuïteit-K346,0),0)))))</f>
        <v/>
      </c>
      <c r="K346" s="58" t="str">
        <f>IF($B345="","",IF($B345+1&gt;dropdown!$D$12,"",G346*I346*Rentekosten))</f>
        <v/>
      </c>
      <c r="L346" s="58" t="str">
        <f t="shared" si="51"/>
        <v/>
      </c>
      <c r="M346" s="58" t="str">
        <f t="shared" si="45"/>
        <v/>
      </c>
      <c r="N346" s="57"/>
      <c r="O346" s="60" t="str">
        <f t="shared" si="46"/>
        <v/>
      </c>
      <c r="P346" s="60" t="str">
        <f t="shared" si="47"/>
        <v/>
      </c>
      <c r="Q346" s="60" t="str">
        <f t="shared" si="52"/>
        <v/>
      </c>
      <c r="R346" s="57"/>
      <c r="S346" s="58" t="str">
        <f t="shared" si="48"/>
        <v/>
      </c>
      <c r="T346" s="58" t="str">
        <f t="shared" si="49"/>
        <v/>
      </c>
      <c r="U346" s="61" t="str">
        <f t="shared" si="53"/>
        <v/>
      </c>
      <c r="V346" s="58" t="str">
        <f t="shared" si="50"/>
        <v/>
      </c>
      <c r="W346" s="57"/>
    </row>
    <row r="347" spans="1:23" s="59" customFormat="1" x14ac:dyDescent="0.25">
      <c r="A347" s="53"/>
      <c r="B347" s="54" t="str">
        <f>IF($B346="","",IF($B346+1&gt;dropdown!$D$12,"",Schema!B346+1))</f>
        <v/>
      </c>
      <c r="C347" s="55" t="str">
        <f>IF($B346="","",IF($B346+1&gt;dropdown!$D$12,"",EOMONTH(C346,0)+1))</f>
        <v/>
      </c>
      <c r="D347" s="53"/>
      <c r="E347" s="55" t="str">
        <f>IF($B346="","",IF($B346+1&gt;dropdown!$D$12,"",F346+1))</f>
        <v/>
      </c>
      <c r="F347" s="55" t="str">
        <f>IF($B346="","",IF($B346+1&gt;dropdown!$D$12,"",EOMONTH(E347,0)))</f>
        <v/>
      </c>
      <c r="G347" s="56" t="str">
        <f>IF($B346="","",IF($B346+1&gt;dropdown!$D$12,"",(_xlfn.DAYS(F347,E347)+1)/DAY(F347)))</f>
        <v/>
      </c>
      <c r="H347" s="57"/>
      <c r="I347" s="58" t="str">
        <f>IF($B346="","",IF($B346+1&gt;dropdown!$D$12,"",I346-J346))</f>
        <v/>
      </c>
      <c r="J347" s="58" t="str">
        <f>IF($B346="","",IF($B346+1&gt;dropdown!$D$12,"",IF(B346&lt;dropdown!$D$13,0,IF(Aflossingsmethode="Lineair",Aflossingsbedrag,IF(Aflossingsmethode="Annuïteit",IFERROR(Bedrag_annuïteit-K347,0),0)))))</f>
        <v/>
      </c>
      <c r="K347" s="58" t="str">
        <f>IF($B346="","",IF($B346+1&gt;dropdown!$D$12,"",G347*I347*Rentekosten))</f>
        <v/>
      </c>
      <c r="L347" s="58" t="str">
        <f t="shared" si="51"/>
        <v/>
      </c>
      <c r="M347" s="58" t="str">
        <f t="shared" si="45"/>
        <v/>
      </c>
      <c r="N347" s="57"/>
      <c r="O347" s="60" t="str">
        <f t="shared" si="46"/>
        <v/>
      </c>
      <c r="P347" s="60" t="str">
        <f t="shared" si="47"/>
        <v/>
      </c>
      <c r="Q347" s="60" t="str">
        <f t="shared" si="52"/>
        <v/>
      </c>
      <c r="R347" s="57"/>
      <c r="S347" s="58" t="str">
        <f t="shared" si="48"/>
        <v/>
      </c>
      <c r="T347" s="58" t="str">
        <f t="shared" si="49"/>
        <v/>
      </c>
      <c r="U347" s="61" t="str">
        <f t="shared" si="53"/>
        <v/>
      </c>
      <c r="V347" s="58" t="str">
        <f t="shared" si="50"/>
        <v/>
      </c>
      <c r="W347" s="57"/>
    </row>
    <row r="348" spans="1:23" s="59" customFormat="1" x14ac:dyDescent="0.25">
      <c r="A348" s="53"/>
      <c r="B348" s="54" t="str">
        <f>IF($B347="","",IF($B347+1&gt;dropdown!$D$12,"",Schema!B347+1))</f>
        <v/>
      </c>
      <c r="C348" s="55" t="str">
        <f>IF($B347="","",IF($B347+1&gt;dropdown!$D$12,"",EOMONTH(C347,0)+1))</f>
        <v/>
      </c>
      <c r="D348" s="53"/>
      <c r="E348" s="55" t="str">
        <f>IF($B347="","",IF($B347+1&gt;dropdown!$D$12,"",F347+1))</f>
        <v/>
      </c>
      <c r="F348" s="55" t="str">
        <f>IF($B347="","",IF($B347+1&gt;dropdown!$D$12,"",EOMONTH(E348,0)))</f>
        <v/>
      </c>
      <c r="G348" s="56" t="str">
        <f>IF($B347="","",IF($B347+1&gt;dropdown!$D$12,"",(_xlfn.DAYS(F348,E348)+1)/DAY(F348)))</f>
        <v/>
      </c>
      <c r="H348" s="57"/>
      <c r="I348" s="58" t="str">
        <f>IF($B347="","",IF($B347+1&gt;dropdown!$D$12,"",I347-J347))</f>
        <v/>
      </c>
      <c r="J348" s="58" t="str">
        <f>IF($B347="","",IF($B347+1&gt;dropdown!$D$12,"",IF(B347&lt;dropdown!$D$13,0,IF(Aflossingsmethode="Lineair",Aflossingsbedrag,IF(Aflossingsmethode="Annuïteit",IFERROR(Bedrag_annuïteit-K348,0),0)))))</f>
        <v/>
      </c>
      <c r="K348" s="58" t="str">
        <f>IF($B347="","",IF($B347+1&gt;dropdown!$D$12,"",G348*I348*Rentekosten))</f>
        <v/>
      </c>
      <c r="L348" s="58" t="str">
        <f t="shared" si="51"/>
        <v/>
      </c>
      <c r="M348" s="58" t="str">
        <f t="shared" si="45"/>
        <v/>
      </c>
      <c r="N348" s="57"/>
      <c r="O348" s="60" t="str">
        <f t="shared" si="46"/>
        <v/>
      </c>
      <c r="P348" s="60" t="str">
        <f t="shared" si="47"/>
        <v/>
      </c>
      <c r="Q348" s="60" t="str">
        <f t="shared" si="52"/>
        <v/>
      </c>
      <c r="R348" s="57"/>
      <c r="S348" s="58" t="str">
        <f t="shared" si="48"/>
        <v/>
      </c>
      <c r="T348" s="58" t="str">
        <f t="shared" si="49"/>
        <v/>
      </c>
      <c r="U348" s="61" t="str">
        <f t="shared" si="53"/>
        <v/>
      </c>
      <c r="V348" s="58" t="str">
        <f t="shared" si="50"/>
        <v/>
      </c>
      <c r="W348" s="57"/>
    </row>
    <row r="349" spans="1:23" s="59" customFormat="1" x14ac:dyDescent="0.25">
      <c r="A349" s="53"/>
      <c r="B349" s="54" t="str">
        <f>IF($B348="","",IF($B348+1&gt;dropdown!$D$12,"",Schema!B348+1))</f>
        <v/>
      </c>
      <c r="C349" s="55" t="str">
        <f>IF($B348="","",IF($B348+1&gt;dropdown!$D$12,"",EOMONTH(C348,0)+1))</f>
        <v/>
      </c>
      <c r="D349" s="53"/>
      <c r="E349" s="55" t="str">
        <f>IF($B348="","",IF($B348+1&gt;dropdown!$D$12,"",F348+1))</f>
        <v/>
      </c>
      <c r="F349" s="55" t="str">
        <f>IF($B348="","",IF($B348+1&gt;dropdown!$D$12,"",EOMONTH(E349,0)))</f>
        <v/>
      </c>
      <c r="G349" s="56" t="str">
        <f>IF($B348="","",IF($B348+1&gt;dropdown!$D$12,"",(_xlfn.DAYS(F349,E349)+1)/DAY(F349)))</f>
        <v/>
      </c>
      <c r="H349" s="57"/>
      <c r="I349" s="58" t="str">
        <f>IF($B348="","",IF($B348+1&gt;dropdown!$D$12,"",I348-J348))</f>
        <v/>
      </c>
      <c r="J349" s="58" t="str">
        <f>IF($B348="","",IF($B348+1&gt;dropdown!$D$12,"",IF(B348&lt;dropdown!$D$13,0,IF(Aflossingsmethode="Lineair",Aflossingsbedrag,IF(Aflossingsmethode="Annuïteit",IFERROR(Bedrag_annuïteit-K349,0),0)))))</f>
        <v/>
      </c>
      <c r="K349" s="58" t="str">
        <f>IF($B348="","",IF($B348+1&gt;dropdown!$D$12,"",G349*I349*Rentekosten))</f>
        <v/>
      </c>
      <c r="L349" s="58" t="str">
        <f t="shared" si="51"/>
        <v/>
      </c>
      <c r="M349" s="58" t="str">
        <f t="shared" si="45"/>
        <v/>
      </c>
      <c r="N349" s="57"/>
      <c r="O349" s="60" t="str">
        <f t="shared" si="46"/>
        <v/>
      </c>
      <c r="P349" s="60" t="str">
        <f t="shared" si="47"/>
        <v/>
      </c>
      <c r="Q349" s="60" t="str">
        <f t="shared" si="52"/>
        <v/>
      </c>
      <c r="R349" s="57"/>
      <c r="S349" s="58" t="str">
        <f t="shared" si="48"/>
        <v/>
      </c>
      <c r="T349" s="58" t="str">
        <f t="shared" si="49"/>
        <v/>
      </c>
      <c r="U349" s="61" t="str">
        <f t="shared" si="53"/>
        <v/>
      </c>
      <c r="V349" s="58" t="str">
        <f t="shared" si="50"/>
        <v/>
      </c>
      <c r="W349" s="57"/>
    </row>
    <row r="350" spans="1:23" s="59" customFormat="1" x14ac:dyDescent="0.25">
      <c r="A350" s="53"/>
      <c r="B350" s="54" t="str">
        <f>IF($B349="","",IF($B349+1&gt;dropdown!$D$12,"",Schema!B349+1))</f>
        <v/>
      </c>
      <c r="C350" s="55" t="str">
        <f>IF($B349="","",IF($B349+1&gt;dropdown!$D$12,"",EOMONTH(C349,0)+1))</f>
        <v/>
      </c>
      <c r="D350" s="53"/>
      <c r="E350" s="55" t="str">
        <f>IF($B349="","",IF($B349+1&gt;dropdown!$D$12,"",F349+1))</f>
        <v/>
      </c>
      <c r="F350" s="55" t="str">
        <f>IF($B349="","",IF($B349+1&gt;dropdown!$D$12,"",EOMONTH(E350,0)))</f>
        <v/>
      </c>
      <c r="G350" s="56" t="str">
        <f>IF($B349="","",IF($B349+1&gt;dropdown!$D$12,"",(_xlfn.DAYS(F350,E350)+1)/DAY(F350)))</f>
        <v/>
      </c>
      <c r="H350" s="57"/>
      <c r="I350" s="58" t="str">
        <f>IF($B349="","",IF($B349+1&gt;dropdown!$D$12,"",I349-J349))</f>
        <v/>
      </c>
      <c r="J350" s="58" t="str">
        <f>IF($B349="","",IF($B349+1&gt;dropdown!$D$12,"",IF(B349&lt;dropdown!$D$13,0,IF(Aflossingsmethode="Lineair",Aflossingsbedrag,IF(Aflossingsmethode="Annuïteit",IFERROR(Bedrag_annuïteit-K350,0),0)))))</f>
        <v/>
      </c>
      <c r="K350" s="58" t="str">
        <f>IF($B349="","",IF($B349+1&gt;dropdown!$D$12,"",G350*I350*Rentekosten))</f>
        <v/>
      </c>
      <c r="L350" s="58" t="str">
        <f t="shared" si="51"/>
        <v/>
      </c>
      <c r="M350" s="58" t="str">
        <f t="shared" si="45"/>
        <v/>
      </c>
      <c r="N350" s="57"/>
      <c r="O350" s="60" t="str">
        <f t="shared" si="46"/>
        <v/>
      </c>
      <c r="P350" s="60" t="str">
        <f t="shared" si="47"/>
        <v/>
      </c>
      <c r="Q350" s="60" t="str">
        <f t="shared" si="52"/>
        <v/>
      </c>
      <c r="R350" s="57"/>
      <c r="S350" s="58" t="str">
        <f t="shared" si="48"/>
        <v/>
      </c>
      <c r="T350" s="58" t="str">
        <f t="shared" si="49"/>
        <v/>
      </c>
      <c r="U350" s="61" t="str">
        <f t="shared" si="53"/>
        <v/>
      </c>
      <c r="V350" s="58" t="str">
        <f t="shared" si="50"/>
        <v/>
      </c>
      <c r="W350" s="57"/>
    </row>
    <row r="351" spans="1:23" s="59" customFormat="1" x14ac:dyDescent="0.25">
      <c r="A351" s="53"/>
      <c r="B351" s="54" t="str">
        <f>IF($B350="","",IF($B350+1&gt;dropdown!$D$12,"",Schema!B350+1))</f>
        <v/>
      </c>
      <c r="C351" s="55" t="str">
        <f>IF($B350="","",IF($B350+1&gt;dropdown!$D$12,"",EOMONTH(C350,0)+1))</f>
        <v/>
      </c>
      <c r="D351" s="53"/>
      <c r="E351" s="55" t="str">
        <f>IF($B350="","",IF($B350+1&gt;dropdown!$D$12,"",F350+1))</f>
        <v/>
      </c>
      <c r="F351" s="55" t="str">
        <f>IF($B350="","",IF($B350+1&gt;dropdown!$D$12,"",EOMONTH(E351,0)))</f>
        <v/>
      </c>
      <c r="G351" s="56" t="str">
        <f>IF($B350="","",IF($B350+1&gt;dropdown!$D$12,"",(_xlfn.DAYS(F351,E351)+1)/DAY(F351)))</f>
        <v/>
      </c>
      <c r="H351" s="57"/>
      <c r="I351" s="58" t="str">
        <f>IF($B350="","",IF($B350+1&gt;dropdown!$D$12,"",I350-J350))</f>
        <v/>
      </c>
      <c r="J351" s="58" t="str">
        <f>IF($B350="","",IF($B350+1&gt;dropdown!$D$12,"",IF(B350&lt;dropdown!$D$13,0,IF(Aflossingsmethode="Lineair",Aflossingsbedrag,IF(Aflossingsmethode="Annuïteit",IFERROR(Bedrag_annuïteit-K351,0),0)))))</f>
        <v/>
      </c>
      <c r="K351" s="58" t="str">
        <f>IF($B350="","",IF($B350+1&gt;dropdown!$D$12,"",G351*I351*Rentekosten))</f>
        <v/>
      </c>
      <c r="L351" s="58" t="str">
        <f t="shared" si="51"/>
        <v/>
      </c>
      <c r="M351" s="58" t="str">
        <f t="shared" si="45"/>
        <v/>
      </c>
      <c r="N351" s="57"/>
      <c r="O351" s="60" t="str">
        <f t="shared" si="46"/>
        <v/>
      </c>
      <c r="P351" s="60" t="str">
        <f t="shared" si="47"/>
        <v/>
      </c>
      <c r="Q351" s="60" t="str">
        <f t="shared" si="52"/>
        <v/>
      </c>
      <c r="R351" s="57"/>
      <c r="S351" s="58" t="str">
        <f t="shared" si="48"/>
        <v/>
      </c>
      <c r="T351" s="58" t="str">
        <f t="shared" si="49"/>
        <v/>
      </c>
      <c r="U351" s="61" t="str">
        <f t="shared" si="53"/>
        <v/>
      </c>
      <c r="V351" s="58" t="str">
        <f t="shared" si="50"/>
        <v/>
      </c>
      <c r="W351" s="57"/>
    </row>
    <row r="352" spans="1:23" s="59" customFormat="1" x14ac:dyDescent="0.25">
      <c r="A352" s="53"/>
      <c r="B352" s="54" t="str">
        <f>IF($B351="","",IF($B351+1&gt;dropdown!$D$12,"",Schema!B351+1))</f>
        <v/>
      </c>
      <c r="C352" s="55" t="str">
        <f>IF($B351="","",IF($B351+1&gt;dropdown!$D$12,"",EOMONTH(C351,0)+1))</f>
        <v/>
      </c>
      <c r="D352" s="53"/>
      <c r="E352" s="55" t="str">
        <f>IF($B351="","",IF($B351+1&gt;dropdown!$D$12,"",F351+1))</f>
        <v/>
      </c>
      <c r="F352" s="55" t="str">
        <f>IF($B351="","",IF($B351+1&gt;dropdown!$D$12,"",EOMONTH(E352,0)))</f>
        <v/>
      </c>
      <c r="G352" s="56" t="str">
        <f>IF($B351="","",IF($B351+1&gt;dropdown!$D$12,"",(_xlfn.DAYS(F352,E352)+1)/DAY(F352)))</f>
        <v/>
      </c>
      <c r="H352" s="57"/>
      <c r="I352" s="58" t="str">
        <f>IF($B351="","",IF($B351+1&gt;dropdown!$D$12,"",I351-J351))</f>
        <v/>
      </c>
      <c r="J352" s="58" t="str">
        <f>IF($B351="","",IF($B351+1&gt;dropdown!$D$12,"",IF(B351&lt;dropdown!$D$13,0,IF(Aflossingsmethode="Lineair",Aflossingsbedrag,IF(Aflossingsmethode="Annuïteit",IFERROR(Bedrag_annuïteit-K352,0),0)))))</f>
        <v/>
      </c>
      <c r="K352" s="58" t="str">
        <f>IF($B351="","",IF($B351+1&gt;dropdown!$D$12,"",G352*I352*Rentekosten))</f>
        <v/>
      </c>
      <c r="L352" s="58" t="str">
        <f t="shared" si="51"/>
        <v/>
      </c>
      <c r="M352" s="58" t="str">
        <f t="shared" si="45"/>
        <v/>
      </c>
      <c r="N352" s="57"/>
      <c r="O352" s="60" t="str">
        <f t="shared" si="46"/>
        <v/>
      </c>
      <c r="P352" s="60" t="str">
        <f t="shared" si="47"/>
        <v/>
      </c>
      <c r="Q352" s="60" t="str">
        <f t="shared" si="52"/>
        <v/>
      </c>
      <c r="R352" s="57"/>
      <c r="S352" s="58" t="str">
        <f t="shared" si="48"/>
        <v/>
      </c>
      <c r="T352" s="58" t="str">
        <f t="shared" si="49"/>
        <v/>
      </c>
      <c r="U352" s="61" t="str">
        <f t="shared" si="53"/>
        <v/>
      </c>
      <c r="V352" s="58" t="str">
        <f t="shared" si="50"/>
        <v/>
      </c>
      <c r="W352" s="57"/>
    </row>
    <row r="353" spans="1:23" s="59" customFormat="1" x14ac:dyDescent="0.25">
      <c r="A353" s="53"/>
      <c r="B353" s="54" t="str">
        <f>IF($B352="","",IF($B352+1&gt;dropdown!$D$12,"",Schema!B352+1))</f>
        <v/>
      </c>
      <c r="C353" s="55" t="str">
        <f>IF($B352="","",IF($B352+1&gt;dropdown!$D$12,"",EOMONTH(C352,0)+1))</f>
        <v/>
      </c>
      <c r="D353" s="53"/>
      <c r="E353" s="55" t="str">
        <f>IF($B352="","",IF($B352+1&gt;dropdown!$D$12,"",F352+1))</f>
        <v/>
      </c>
      <c r="F353" s="55" t="str">
        <f>IF($B352="","",IF($B352+1&gt;dropdown!$D$12,"",EOMONTH(E353,0)))</f>
        <v/>
      </c>
      <c r="G353" s="56" t="str">
        <f>IF($B352="","",IF($B352+1&gt;dropdown!$D$12,"",(_xlfn.DAYS(F353,E353)+1)/DAY(F353)))</f>
        <v/>
      </c>
      <c r="H353" s="57"/>
      <c r="I353" s="58" t="str">
        <f>IF($B352="","",IF($B352+1&gt;dropdown!$D$12,"",I352-J352))</f>
        <v/>
      </c>
      <c r="J353" s="58" t="str">
        <f>IF($B352="","",IF($B352+1&gt;dropdown!$D$12,"",IF(B352&lt;dropdown!$D$13,0,IF(Aflossingsmethode="Lineair",Aflossingsbedrag,IF(Aflossingsmethode="Annuïteit",IFERROR(Bedrag_annuïteit-K353,0),0)))))</f>
        <v/>
      </c>
      <c r="K353" s="58" t="str">
        <f>IF($B352="","",IF($B352+1&gt;dropdown!$D$12,"",G353*I353*Rentekosten))</f>
        <v/>
      </c>
      <c r="L353" s="58" t="str">
        <f t="shared" si="51"/>
        <v/>
      </c>
      <c r="M353" s="58" t="str">
        <f t="shared" si="45"/>
        <v/>
      </c>
      <c r="N353" s="57"/>
      <c r="O353" s="60" t="str">
        <f t="shared" si="46"/>
        <v/>
      </c>
      <c r="P353" s="60" t="str">
        <f t="shared" si="47"/>
        <v/>
      </c>
      <c r="Q353" s="60" t="str">
        <f t="shared" si="52"/>
        <v/>
      </c>
      <c r="R353" s="57"/>
      <c r="S353" s="58" t="str">
        <f t="shared" si="48"/>
        <v/>
      </c>
      <c r="T353" s="58" t="str">
        <f t="shared" si="49"/>
        <v/>
      </c>
      <c r="U353" s="61" t="str">
        <f t="shared" si="53"/>
        <v/>
      </c>
      <c r="V353" s="58" t="str">
        <f t="shared" si="50"/>
        <v/>
      </c>
      <c r="W353" s="57"/>
    </row>
    <row r="354" spans="1:23" s="59" customFormat="1" x14ac:dyDescent="0.25">
      <c r="A354" s="53"/>
      <c r="B354" s="54" t="str">
        <f>IF($B353="","",IF($B353+1&gt;dropdown!$D$12,"",Schema!B353+1))</f>
        <v/>
      </c>
      <c r="C354" s="55" t="str">
        <f>IF($B353="","",IF($B353+1&gt;dropdown!$D$12,"",EOMONTH(C353,0)+1))</f>
        <v/>
      </c>
      <c r="D354" s="53"/>
      <c r="E354" s="55" t="str">
        <f>IF($B353="","",IF($B353+1&gt;dropdown!$D$12,"",F353+1))</f>
        <v/>
      </c>
      <c r="F354" s="55" t="str">
        <f>IF($B353="","",IF($B353+1&gt;dropdown!$D$12,"",EOMONTH(E354,0)))</f>
        <v/>
      </c>
      <c r="G354" s="56" t="str">
        <f>IF($B353="","",IF($B353+1&gt;dropdown!$D$12,"",(_xlfn.DAYS(F354,E354)+1)/DAY(F354)))</f>
        <v/>
      </c>
      <c r="H354" s="57"/>
      <c r="I354" s="58" t="str">
        <f>IF($B353="","",IF($B353+1&gt;dropdown!$D$12,"",I353-J353))</f>
        <v/>
      </c>
      <c r="J354" s="58" t="str">
        <f>IF($B353="","",IF($B353+1&gt;dropdown!$D$12,"",IF(B353&lt;dropdown!$D$13,0,IF(Aflossingsmethode="Lineair",Aflossingsbedrag,IF(Aflossingsmethode="Annuïteit",IFERROR(Bedrag_annuïteit-K354,0),0)))))</f>
        <v/>
      </c>
      <c r="K354" s="58" t="str">
        <f>IF($B353="","",IF($B353+1&gt;dropdown!$D$12,"",G354*I354*Rentekosten))</f>
        <v/>
      </c>
      <c r="L354" s="58" t="str">
        <f t="shared" si="51"/>
        <v/>
      </c>
      <c r="M354" s="58" t="str">
        <f t="shared" si="45"/>
        <v/>
      </c>
      <c r="N354" s="57"/>
      <c r="O354" s="60" t="str">
        <f t="shared" si="46"/>
        <v/>
      </c>
      <c r="P354" s="60" t="str">
        <f t="shared" si="47"/>
        <v/>
      </c>
      <c r="Q354" s="60" t="str">
        <f t="shared" si="52"/>
        <v/>
      </c>
      <c r="R354" s="57"/>
      <c r="S354" s="58" t="str">
        <f t="shared" si="48"/>
        <v/>
      </c>
      <c r="T354" s="58" t="str">
        <f t="shared" si="49"/>
        <v/>
      </c>
      <c r="U354" s="61" t="str">
        <f t="shared" si="53"/>
        <v/>
      </c>
      <c r="V354" s="58" t="str">
        <f t="shared" si="50"/>
        <v/>
      </c>
      <c r="W354" s="57"/>
    </row>
    <row r="355" spans="1:23" s="59" customFormat="1" x14ac:dyDescent="0.25">
      <c r="A355" s="53"/>
      <c r="B355" s="54" t="str">
        <f>IF($B354="","",IF($B354+1&gt;dropdown!$D$12,"",Schema!B354+1))</f>
        <v/>
      </c>
      <c r="C355" s="55" t="str">
        <f>IF($B354="","",IF($B354+1&gt;dropdown!$D$12,"",EOMONTH(C354,0)+1))</f>
        <v/>
      </c>
      <c r="D355" s="53"/>
      <c r="E355" s="55" t="str">
        <f>IF($B354="","",IF($B354+1&gt;dropdown!$D$12,"",F354+1))</f>
        <v/>
      </c>
      <c r="F355" s="55" t="str">
        <f>IF($B354="","",IF($B354+1&gt;dropdown!$D$12,"",EOMONTH(E355,0)))</f>
        <v/>
      </c>
      <c r="G355" s="56" t="str">
        <f>IF($B354="","",IF($B354+1&gt;dropdown!$D$12,"",(_xlfn.DAYS(F355,E355)+1)/DAY(F355)))</f>
        <v/>
      </c>
      <c r="H355" s="57"/>
      <c r="I355" s="58" t="str">
        <f>IF($B354="","",IF($B354+1&gt;dropdown!$D$12,"",I354-J354))</f>
        <v/>
      </c>
      <c r="J355" s="58" t="str">
        <f>IF($B354="","",IF($B354+1&gt;dropdown!$D$12,"",IF(B354&lt;dropdown!$D$13,0,IF(Aflossingsmethode="Lineair",Aflossingsbedrag,IF(Aflossingsmethode="Annuïteit",IFERROR(Bedrag_annuïteit-K355,0),0)))))</f>
        <v/>
      </c>
      <c r="K355" s="58" t="str">
        <f>IF($B354="","",IF($B354+1&gt;dropdown!$D$12,"",G355*I355*Rentekosten))</f>
        <v/>
      </c>
      <c r="L355" s="58" t="str">
        <f t="shared" si="51"/>
        <v/>
      </c>
      <c r="M355" s="58" t="str">
        <f t="shared" si="45"/>
        <v/>
      </c>
      <c r="N355" s="57"/>
      <c r="O355" s="60" t="str">
        <f t="shared" si="46"/>
        <v/>
      </c>
      <c r="P355" s="60" t="str">
        <f t="shared" si="47"/>
        <v/>
      </c>
      <c r="Q355" s="60" t="str">
        <f t="shared" si="52"/>
        <v/>
      </c>
      <c r="R355" s="57"/>
      <c r="S355" s="58" t="str">
        <f t="shared" si="48"/>
        <v/>
      </c>
      <c r="T355" s="58" t="str">
        <f t="shared" si="49"/>
        <v/>
      </c>
      <c r="U355" s="61" t="str">
        <f t="shared" si="53"/>
        <v/>
      </c>
      <c r="V355" s="58" t="str">
        <f t="shared" si="50"/>
        <v/>
      </c>
      <c r="W355" s="57"/>
    </row>
    <row r="356" spans="1:23" s="59" customFormat="1" x14ac:dyDescent="0.25">
      <c r="A356" s="53"/>
      <c r="B356" s="54" t="str">
        <f>IF($B355="","",IF($B355+1&gt;dropdown!$D$12,"",Schema!B355+1))</f>
        <v/>
      </c>
      <c r="C356" s="55" t="str">
        <f>IF($B355="","",IF($B355+1&gt;dropdown!$D$12,"",EOMONTH(C355,0)+1))</f>
        <v/>
      </c>
      <c r="D356" s="53"/>
      <c r="E356" s="55" t="str">
        <f>IF($B355="","",IF($B355+1&gt;dropdown!$D$12,"",F355+1))</f>
        <v/>
      </c>
      <c r="F356" s="55" t="str">
        <f>IF($B355="","",IF($B355+1&gt;dropdown!$D$12,"",EOMONTH(E356,0)))</f>
        <v/>
      </c>
      <c r="G356" s="56" t="str">
        <f>IF($B355="","",IF($B355+1&gt;dropdown!$D$12,"",(_xlfn.DAYS(F356,E356)+1)/DAY(F356)))</f>
        <v/>
      </c>
      <c r="H356" s="57"/>
      <c r="I356" s="58" t="str">
        <f>IF($B355="","",IF($B355+1&gt;dropdown!$D$12,"",I355-J355))</f>
        <v/>
      </c>
      <c r="J356" s="58" t="str">
        <f>IF($B355="","",IF($B355+1&gt;dropdown!$D$12,"",IF(B355&lt;dropdown!$D$13,0,IF(Aflossingsmethode="Lineair",Aflossingsbedrag,IF(Aflossingsmethode="Annuïteit",IFERROR(Bedrag_annuïteit-K356,0),0)))))</f>
        <v/>
      </c>
      <c r="K356" s="58" t="str">
        <f>IF($B355="","",IF($B355+1&gt;dropdown!$D$12,"",G356*I356*Rentekosten))</f>
        <v/>
      </c>
      <c r="L356" s="58" t="str">
        <f t="shared" si="51"/>
        <v/>
      </c>
      <c r="M356" s="58" t="str">
        <f t="shared" si="45"/>
        <v/>
      </c>
      <c r="N356" s="57"/>
      <c r="O356" s="60" t="str">
        <f t="shared" si="46"/>
        <v/>
      </c>
      <c r="P356" s="60" t="str">
        <f t="shared" si="47"/>
        <v/>
      </c>
      <c r="Q356" s="60" t="str">
        <f t="shared" si="52"/>
        <v/>
      </c>
      <c r="R356" s="57"/>
      <c r="S356" s="58" t="str">
        <f t="shared" si="48"/>
        <v/>
      </c>
      <c r="T356" s="58" t="str">
        <f t="shared" si="49"/>
        <v/>
      </c>
      <c r="U356" s="61" t="str">
        <f t="shared" si="53"/>
        <v/>
      </c>
      <c r="V356" s="58" t="str">
        <f t="shared" si="50"/>
        <v/>
      </c>
      <c r="W356" s="57"/>
    </row>
    <row r="357" spans="1:23" s="59" customFormat="1" x14ac:dyDescent="0.25">
      <c r="A357" s="53"/>
      <c r="B357" s="54" t="str">
        <f>IF($B356="","",IF($B356+1&gt;dropdown!$D$12,"",Schema!B356+1))</f>
        <v/>
      </c>
      <c r="C357" s="55" t="str">
        <f>IF($B356="","",IF($B356+1&gt;dropdown!$D$12,"",EOMONTH(C356,0)+1))</f>
        <v/>
      </c>
      <c r="D357" s="53"/>
      <c r="E357" s="55" t="str">
        <f>IF($B356="","",IF($B356+1&gt;dropdown!$D$12,"",F356+1))</f>
        <v/>
      </c>
      <c r="F357" s="55" t="str">
        <f>IF($B356="","",IF($B356+1&gt;dropdown!$D$12,"",EOMONTH(E357,0)))</f>
        <v/>
      </c>
      <c r="G357" s="56" t="str">
        <f>IF($B356="","",IF($B356+1&gt;dropdown!$D$12,"",(_xlfn.DAYS(F357,E357)+1)/DAY(F357)))</f>
        <v/>
      </c>
      <c r="H357" s="57"/>
      <c r="I357" s="58" t="str">
        <f>IF($B356="","",IF($B356+1&gt;dropdown!$D$12,"",I356-J356))</f>
        <v/>
      </c>
      <c r="J357" s="58" t="str">
        <f>IF($B356="","",IF($B356+1&gt;dropdown!$D$12,"",IF(B356&lt;dropdown!$D$13,0,IF(Aflossingsmethode="Lineair",Aflossingsbedrag,IF(Aflossingsmethode="Annuïteit",IFERROR(Bedrag_annuïteit-K357,0),0)))))</f>
        <v/>
      </c>
      <c r="K357" s="58" t="str">
        <f>IF($B356="","",IF($B356+1&gt;dropdown!$D$12,"",G357*I357*Rentekosten))</f>
        <v/>
      </c>
      <c r="L357" s="58" t="str">
        <f t="shared" si="51"/>
        <v/>
      </c>
      <c r="M357" s="58" t="str">
        <f t="shared" si="45"/>
        <v/>
      </c>
      <c r="N357" s="57"/>
      <c r="O357" s="60" t="str">
        <f t="shared" si="46"/>
        <v/>
      </c>
      <c r="P357" s="60" t="str">
        <f t="shared" si="47"/>
        <v/>
      </c>
      <c r="Q357" s="60" t="str">
        <f t="shared" si="52"/>
        <v/>
      </c>
      <c r="R357" s="57"/>
      <c r="S357" s="58" t="str">
        <f t="shared" si="48"/>
        <v/>
      </c>
      <c r="T357" s="58" t="str">
        <f t="shared" si="49"/>
        <v/>
      </c>
      <c r="U357" s="61" t="str">
        <f t="shared" si="53"/>
        <v/>
      </c>
      <c r="V357" s="58" t="str">
        <f t="shared" si="50"/>
        <v/>
      </c>
      <c r="W357" s="57"/>
    </row>
    <row r="358" spans="1:23" s="59" customFormat="1" x14ac:dyDescent="0.25">
      <c r="A358" s="53"/>
      <c r="B358" s="54" t="str">
        <f>IF($B357="","",IF($B357+1&gt;dropdown!$D$12,"",Schema!B357+1))</f>
        <v/>
      </c>
      <c r="C358" s="55" t="str">
        <f>IF($B357="","",IF($B357+1&gt;dropdown!$D$12,"",EOMONTH(C357,0)+1))</f>
        <v/>
      </c>
      <c r="D358" s="53"/>
      <c r="E358" s="55" t="str">
        <f>IF($B357="","",IF($B357+1&gt;dropdown!$D$12,"",F357+1))</f>
        <v/>
      </c>
      <c r="F358" s="55" t="str">
        <f>IF($B357="","",IF($B357+1&gt;dropdown!$D$12,"",EOMONTH(E358,0)))</f>
        <v/>
      </c>
      <c r="G358" s="56" t="str">
        <f>IF($B357="","",IF($B357+1&gt;dropdown!$D$12,"",(_xlfn.DAYS(F358,E358)+1)/DAY(F358)))</f>
        <v/>
      </c>
      <c r="H358" s="57"/>
      <c r="I358" s="58" t="str">
        <f>IF($B357="","",IF($B357+1&gt;dropdown!$D$12,"",I357-J357))</f>
        <v/>
      </c>
      <c r="J358" s="58" t="str">
        <f>IF($B357="","",IF($B357+1&gt;dropdown!$D$12,"",IF(B357&lt;dropdown!$D$13,0,IF(Aflossingsmethode="Lineair",Aflossingsbedrag,IF(Aflossingsmethode="Annuïteit",IFERROR(Bedrag_annuïteit-K358,0),0)))))</f>
        <v/>
      </c>
      <c r="K358" s="58" t="str">
        <f>IF($B357="","",IF($B357+1&gt;dropdown!$D$12,"",G358*I358*Rentekosten))</f>
        <v/>
      </c>
      <c r="L358" s="58" t="str">
        <f t="shared" si="51"/>
        <v/>
      </c>
      <c r="M358" s="58" t="str">
        <f t="shared" si="45"/>
        <v/>
      </c>
      <c r="N358" s="57"/>
      <c r="O358" s="60" t="str">
        <f t="shared" si="46"/>
        <v/>
      </c>
      <c r="P358" s="60" t="str">
        <f t="shared" si="47"/>
        <v/>
      </c>
      <c r="Q358" s="60" t="str">
        <f t="shared" si="52"/>
        <v/>
      </c>
      <c r="R358" s="57"/>
      <c r="S358" s="58" t="str">
        <f t="shared" si="48"/>
        <v/>
      </c>
      <c r="T358" s="58" t="str">
        <f t="shared" si="49"/>
        <v/>
      </c>
      <c r="U358" s="61" t="str">
        <f t="shared" si="53"/>
        <v/>
      </c>
      <c r="V358" s="58" t="str">
        <f t="shared" si="50"/>
        <v/>
      </c>
      <c r="W358" s="57"/>
    </row>
    <row r="359" spans="1:23" s="59" customFormat="1" x14ac:dyDescent="0.25">
      <c r="A359" s="53"/>
      <c r="B359" s="54" t="str">
        <f>IF($B358="","",IF($B358+1&gt;dropdown!$D$12,"",Schema!B358+1))</f>
        <v/>
      </c>
      <c r="C359" s="55" t="str">
        <f>IF($B358="","",IF($B358+1&gt;dropdown!$D$12,"",EOMONTH(C358,0)+1))</f>
        <v/>
      </c>
      <c r="D359" s="53"/>
      <c r="E359" s="55" t="str">
        <f>IF($B358="","",IF($B358+1&gt;dropdown!$D$12,"",F358+1))</f>
        <v/>
      </c>
      <c r="F359" s="55" t="str">
        <f>IF($B358="","",IF($B358+1&gt;dropdown!$D$12,"",EOMONTH(E359,0)))</f>
        <v/>
      </c>
      <c r="G359" s="56" t="str">
        <f>IF($B358="","",IF($B358+1&gt;dropdown!$D$12,"",(_xlfn.DAYS(F359,E359)+1)/DAY(F359)))</f>
        <v/>
      </c>
      <c r="H359" s="57"/>
      <c r="I359" s="58" t="str">
        <f>IF($B358="","",IF($B358+1&gt;dropdown!$D$12,"",I358-J358))</f>
        <v/>
      </c>
      <c r="J359" s="58" t="str">
        <f>IF($B358="","",IF($B358+1&gt;dropdown!$D$12,"",IF(B358&lt;dropdown!$D$13,0,IF(Aflossingsmethode="Lineair",Aflossingsbedrag,IF(Aflossingsmethode="Annuïteit",IFERROR(Bedrag_annuïteit-K359,0),0)))))</f>
        <v/>
      </c>
      <c r="K359" s="58" t="str">
        <f>IF($B358="","",IF($B358+1&gt;dropdown!$D$12,"",G359*I359*Rentekosten))</f>
        <v/>
      </c>
      <c r="L359" s="58" t="str">
        <f t="shared" si="51"/>
        <v/>
      </c>
      <c r="M359" s="58" t="str">
        <f t="shared" si="45"/>
        <v/>
      </c>
      <c r="N359" s="57"/>
      <c r="O359" s="60" t="str">
        <f t="shared" si="46"/>
        <v/>
      </c>
      <c r="P359" s="60" t="str">
        <f t="shared" si="47"/>
        <v/>
      </c>
      <c r="Q359" s="60" t="str">
        <f t="shared" si="52"/>
        <v/>
      </c>
      <c r="R359" s="57"/>
      <c r="S359" s="58" t="str">
        <f t="shared" si="48"/>
        <v/>
      </c>
      <c r="T359" s="58" t="str">
        <f t="shared" si="49"/>
        <v/>
      </c>
      <c r="U359" s="61" t="str">
        <f t="shared" si="53"/>
        <v/>
      </c>
      <c r="V359" s="58" t="str">
        <f t="shared" si="50"/>
        <v/>
      </c>
      <c r="W359" s="57"/>
    </row>
    <row r="360" spans="1:23" s="59" customFormat="1" x14ac:dyDescent="0.25">
      <c r="A360" s="53"/>
      <c r="B360" s="54" t="str">
        <f>IF($B359="","",IF($B359+1&gt;dropdown!$D$12,"",Schema!B359+1))</f>
        <v/>
      </c>
      <c r="C360" s="55" t="str">
        <f>IF($B359="","",IF($B359+1&gt;dropdown!$D$12,"",EOMONTH(C359,0)+1))</f>
        <v/>
      </c>
      <c r="D360" s="53"/>
      <c r="E360" s="55" t="str">
        <f>IF($B359="","",IF($B359+1&gt;dropdown!$D$12,"",F359+1))</f>
        <v/>
      </c>
      <c r="F360" s="55" t="str">
        <f>IF($B359="","",IF($B359+1&gt;dropdown!$D$12,"",EOMONTH(E360,0)))</f>
        <v/>
      </c>
      <c r="G360" s="56" t="str">
        <f>IF($B359="","",IF($B359+1&gt;dropdown!$D$12,"",(_xlfn.DAYS(F360,E360)+1)/DAY(F360)))</f>
        <v/>
      </c>
      <c r="H360" s="57"/>
      <c r="I360" s="58" t="str">
        <f>IF($B359="","",IF($B359+1&gt;dropdown!$D$12,"",I359-J359))</f>
        <v/>
      </c>
      <c r="J360" s="58" t="str">
        <f>IF($B359="","",IF($B359+1&gt;dropdown!$D$12,"",IF(B359&lt;dropdown!$D$13,0,IF(Aflossingsmethode="Lineair",Aflossingsbedrag,IF(Aflossingsmethode="Annuïteit",IFERROR(Bedrag_annuïteit-K360,0),0)))))</f>
        <v/>
      </c>
      <c r="K360" s="58" t="str">
        <f>IF($B359="","",IF($B359+1&gt;dropdown!$D$12,"",G360*I360*Rentekosten))</f>
        <v/>
      </c>
      <c r="L360" s="58" t="str">
        <f t="shared" si="51"/>
        <v/>
      </c>
      <c r="M360" s="58" t="str">
        <f t="shared" si="45"/>
        <v/>
      </c>
      <c r="N360" s="57"/>
      <c r="O360" s="60" t="str">
        <f t="shared" si="46"/>
        <v/>
      </c>
      <c r="P360" s="60" t="str">
        <f t="shared" si="47"/>
        <v/>
      </c>
      <c r="Q360" s="60" t="str">
        <f t="shared" si="52"/>
        <v/>
      </c>
      <c r="R360" s="57"/>
      <c r="S360" s="58" t="str">
        <f t="shared" si="48"/>
        <v/>
      </c>
      <c r="T360" s="58" t="str">
        <f t="shared" si="49"/>
        <v/>
      </c>
      <c r="U360" s="61" t="str">
        <f t="shared" si="53"/>
        <v/>
      </c>
      <c r="V360" s="58" t="str">
        <f t="shared" si="50"/>
        <v/>
      </c>
      <c r="W360" s="57"/>
    </row>
    <row r="361" spans="1:23" s="59" customFormat="1" x14ac:dyDescent="0.25">
      <c r="A361" s="53"/>
      <c r="B361" s="54" t="str">
        <f>IF($B360="","",IF($B360+1&gt;dropdown!$D$12,"",Schema!B360+1))</f>
        <v/>
      </c>
      <c r="C361" s="55" t="str">
        <f>IF($B360="","",IF($B360+1&gt;dropdown!$D$12,"",EOMONTH(C360,0)+1))</f>
        <v/>
      </c>
      <c r="D361" s="53"/>
      <c r="E361" s="55" t="str">
        <f>IF($B360="","",IF($B360+1&gt;dropdown!$D$12,"",F360+1))</f>
        <v/>
      </c>
      <c r="F361" s="55" t="str">
        <f>IF($B360="","",IF($B360+1&gt;dropdown!$D$12,"",EOMONTH(E361,0)))</f>
        <v/>
      </c>
      <c r="G361" s="56" t="str">
        <f>IF($B360="","",IF($B360+1&gt;dropdown!$D$12,"",(_xlfn.DAYS(F361,E361)+1)/DAY(F361)))</f>
        <v/>
      </c>
      <c r="H361" s="57"/>
      <c r="I361" s="58" t="str">
        <f>IF($B360="","",IF($B360+1&gt;dropdown!$D$12,"",I360-J360))</f>
        <v/>
      </c>
      <c r="J361" s="58" t="str">
        <f>IF($B360="","",IF($B360+1&gt;dropdown!$D$12,"",IF(B360&lt;dropdown!$D$13,0,IF(Aflossingsmethode="Lineair",Aflossingsbedrag,IF(Aflossingsmethode="Annuïteit",IFERROR(Bedrag_annuïteit-K361,0),0)))))</f>
        <v/>
      </c>
      <c r="K361" s="58" t="str">
        <f>IF($B360="","",IF($B360+1&gt;dropdown!$D$12,"",G361*I361*Rentekosten))</f>
        <v/>
      </c>
      <c r="L361" s="58" t="str">
        <f t="shared" si="51"/>
        <v/>
      </c>
      <c r="M361" s="58" t="str">
        <f t="shared" si="45"/>
        <v/>
      </c>
      <c r="N361" s="57"/>
      <c r="O361" s="60" t="str">
        <f t="shared" si="46"/>
        <v/>
      </c>
      <c r="P361" s="60" t="str">
        <f t="shared" si="47"/>
        <v/>
      </c>
      <c r="Q361" s="60" t="str">
        <f t="shared" si="52"/>
        <v/>
      </c>
      <c r="R361" s="57"/>
      <c r="S361" s="58" t="str">
        <f t="shared" si="48"/>
        <v/>
      </c>
      <c r="T361" s="58" t="str">
        <f t="shared" si="49"/>
        <v/>
      </c>
      <c r="U361" s="61" t="str">
        <f t="shared" si="53"/>
        <v/>
      </c>
      <c r="V361" s="58" t="str">
        <f t="shared" si="50"/>
        <v/>
      </c>
      <c r="W361" s="57"/>
    </row>
    <row r="362" spans="1:23" s="59" customFormat="1" x14ac:dyDescent="0.25">
      <c r="A362" s="53"/>
      <c r="B362" s="54" t="str">
        <f>IF($B361="","",IF($B361+1&gt;dropdown!$D$12,"",Schema!B361+1))</f>
        <v/>
      </c>
      <c r="C362" s="55" t="str">
        <f>IF($B361="","",IF($B361+1&gt;dropdown!$D$12,"",EOMONTH(C361,0)+1))</f>
        <v/>
      </c>
      <c r="D362" s="53"/>
      <c r="E362" s="55" t="str">
        <f>IF($B361="","",IF($B361+1&gt;dropdown!$D$12,"",F361+1))</f>
        <v/>
      </c>
      <c r="F362" s="55" t="str">
        <f>IF($B361="","",IF($B361+1&gt;dropdown!$D$12,"",EOMONTH(E362,0)))</f>
        <v/>
      </c>
      <c r="G362" s="56" t="str">
        <f>IF($B361="","",IF($B361+1&gt;dropdown!$D$12,"",(_xlfn.DAYS(F362,E362)+1)/DAY(F362)))</f>
        <v/>
      </c>
      <c r="H362" s="57"/>
      <c r="I362" s="58" t="str">
        <f>IF($B361="","",IF($B361+1&gt;dropdown!$D$12,"",I361-J361))</f>
        <v/>
      </c>
      <c r="J362" s="58" t="str">
        <f>IF($B361="","",IF($B361+1&gt;dropdown!$D$12,"",IF(B361&lt;dropdown!$D$13,0,IF(Aflossingsmethode="Lineair",Aflossingsbedrag,IF(Aflossingsmethode="Annuïteit",IFERROR(Bedrag_annuïteit-K362,0),0)))))</f>
        <v/>
      </c>
      <c r="K362" s="58" t="str">
        <f>IF($B361="","",IF($B361+1&gt;dropdown!$D$12,"",G362*I362*Rentekosten))</f>
        <v/>
      </c>
      <c r="L362" s="58" t="str">
        <f t="shared" si="51"/>
        <v/>
      </c>
      <c r="M362" s="58" t="str">
        <f t="shared" si="45"/>
        <v/>
      </c>
      <c r="N362" s="57"/>
      <c r="O362" s="60" t="str">
        <f t="shared" si="46"/>
        <v/>
      </c>
      <c r="P362" s="60" t="str">
        <f t="shared" si="47"/>
        <v/>
      </c>
      <c r="Q362" s="60" t="str">
        <f t="shared" si="52"/>
        <v/>
      </c>
      <c r="R362" s="57"/>
      <c r="S362" s="58" t="str">
        <f t="shared" si="48"/>
        <v/>
      </c>
      <c r="T362" s="58" t="str">
        <f t="shared" si="49"/>
        <v/>
      </c>
      <c r="U362" s="61" t="str">
        <f t="shared" si="53"/>
        <v/>
      </c>
      <c r="V362" s="58" t="str">
        <f t="shared" si="50"/>
        <v/>
      </c>
      <c r="W362" s="57"/>
    </row>
    <row r="363" spans="1:23" s="59" customFormat="1" x14ac:dyDescent="0.25">
      <c r="A363" s="53"/>
      <c r="B363" s="54" t="str">
        <f>IF($B362="","",IF($B362+1&gt;dropdown!$D$12,"",Schema!B362+1))</f>
        <v/>
      </c>
      <c r="C363" s="55" t="str">
        <f>IF($B362="","",IF($B362+1&gt;dropdown!$D$12,"",EOMONTH(C362,0)+1))</f>
        <v/>
      </c>
      <c r="D363" s="53"/>
      <c r="E363" s="55" t="str">
        <f>IF($B362="","",IF($B362+1&gt;dropdown!$D$12,"",F362+1))</f>
        <v/>
      </c>
      <c r="F363" s="55" t="str">
        <f>IF($B362="","",IF($B362+1&gt;dropdown!$D$12,"",EOMONTH(E363,0)))</f>
        <v/>
      </c>
      <c r="G363" s="56" t="str">
        <f>IF($B362="","",IF($B362+1&gt;dropdown!$D$12,"",(_xlfn.DAYS(F363,E363)+1)/DAY(F363)))</f>
        <v/>
      </c>
      <c r="H363" s="57"/>
      <c r="I363" s="58" t="str">
        <f>IF($B362="","",IF($B362+1&gt;dropdown!$D$12,"",I362-J362))</f>
        <v/>
      </c>
      <c r="J363" s="58" t="str">
        <f>IF($B362="","",IF($B362+1&gt;dropdown!$D$12,"",IF(B362&lt;dropdown!$D$13,0,IF(Aflossingsmethode="Lineair",Aflossingsbedrag,IF(Aflossingsmethode="Annuïteit",IFERROR(Bedrag_annuïteit-K363,0),0)))))</f>
        <v/>
      </c>
      <c r="K363" s="58" t="str">
        <f>IF($B362="","",IF($B362+1&gt;dropdown!$D$12,"",G363*I363*Rentekosten))</f>
        <v/>
      </c>
      <c r="L363" s="58" t="str">
        <f t="shared" si="51"/>
        <v/>
      </c>
      <c r="M363" s="58" t="str">
        <f t="shared" si="45"/>
        <v/>
      </c>
      <c r="N363" s="57"/>
      <c r="O363" s="60" t="str">
        <f t="shared" si="46"/>
        <v/>
      </c>
      <c r="P363" s="60" t="str">
        <f t="shared" si="47"/>
        <v/>
      </c>
      <c r="Q363" s="60" t="str">
        <f t="shared" si="52"/>
        <v/>
      </c>
      <c r="R363" s="57"/>
      <c r="S363" s="58" t="str">
        <f t="shared" si="48"/>
        <v/>
      </c>
      <c r="T363" s="58" t="str">
        <f t="shared" si="49"/>
        <v/>
      </c>
      <c r="U363" s="61" t="str">
        <f t="shared" si="53"/>
        <v/>
      </c>
      <c r="V363" s="58" t="str">
        <f t="shared" si="50"/>
        <v/>
      </c>
      <c r="W363" s="57"/>
    </row>
    <row r="364" spans="1:23" s="59" customFormat="1" x14ac:dyDescent="0.25">
      <c r="A364" s="53"/>
      <c r="B364" s="54" t="str">
        <f>IF($B363="","",IF($B363+1&gt;dropdown!$D$12,"",Schema!B363+1))</f>
        <v/>
      </c>
      <c r="C364" s="55" t="str">
        <f>IF($B363="","",IF($B363+1&gt;dropdown!$D$12,"",EOMONTH(C363,0)+1))</f>
        <v/>
      </c>
      <c r="D364" s="53"/>
      <c r="E364" s="55" t="str">
        <f>IF($B363="","",IF($B363+1&gt;dropdown!$D$12,"",F363+1))</f>
        <v/>
      </c>
      <c r="F364" s="55" t="str">
        <f>IF($B363="","",IF($B363+1&gt;dropdown!$D$12,"",EOMONTH(E364,0)))</f>
        <v/>
      </c>
      <c r="G364" s="56" t="str">
        <f>IF($B363="","",IF($B363+1&gt;dropdown!$D$12,"",(_xlfn.DAYS(F364,E364)+1)/DAY(F364)))</f>
        <v/>
      </c>
      <c r="H364" s="57"/>
      <c r="I364" s="58" t="str">
        <f>IF($B363="","",IF($B363+1&gt;dropdown!$D$12,"",I363-J363))</f>
        <v/>
      </c>
      <c r="J364" s="58" t="str">
        <f>IF($B363="","",IF($B363+1&gt;dropdown!$D$12,"",IF(B363&lt;dropdown!$D$13,0,IF(Aflossingsmethode="Lineair",Aflossingsbedrag,IF(Aflossingsmethode="Annuïteit",IFERROR(Bedrag_annuïteit-K364,0),0)))))</f>
        <v/>
      </c>
      <c r="K364" s="58" t="str">
        <f>IF($B363="","",IF($B363+1&gt;dropdown!$D$12,"",G364*I364*Rentekosten))</f>
        <v/>
      </c>
      <c r="L364" s="58" t="str">
        <f t="shared" si="51"/>
        <v/>
      </c>
      <c r="M364" s="58" t="str">
        <f t="shared" si="45"/>
        <v/>
      </c>
      <c r="N364" s="57"/>
      <c r="O364" s="60" t="str">
        <f t="shared" si="46"/>
        <v/>
      </c>
      <c r="P364" s="60" t="str">
        <f t="shared" si="47"/>
        <v/>
      </c>
      <c r="Q364" s="60" t="str">
        <f t="shared" si="52"/>
        <v/>
      </c>
      <c r="R364" s="57"/>
      <c r="S364" s="58" t="str">
        <f t="shared" si="48"/>
        <v/>
      </c>
      <c r="T364" s="58" t="str">
        <f t="shared" si="49"/>
        <v/>
      </c>
      <c r="U364" s="61" t="str">
        <f t="shared" si="53"/>
        <v/>
      </c>
      <c r="V364" s="58" t="str">
        <f t="shared" si="50"/>
        <v/>
      </c>
      <c r="W364" s="57"/>
    </row>
    <row r="365" spans="1:23" s="59" customFormat="1" x14ac:dyDescent="0.25">
      <c r="A365" s="53"/>
      <c r="B365" s="54" t="str">
        <f>IF($B364="","",IF($B364+1&gt;dropdown!$D$12,"",Schema!B364+1))</f>
        <v/>
      </c>
      <c r="C365" s="55" t="str">
        <f>IF($B364="","",IF($B364+1&gt;dropdown!$D$12,"",EOMONTH(C364,0)+1))</f>
        <v/>
      </c>
      <c r="D365" s="53"/>
      <c r="E365" s="55" t="str">
        <f>IF($B364="","",IF($B364+1&gt;dropdown!$D$12,"",F364+1))</f>
        <v/>
      </c>
      <c r="F365" s="55" t="str">
        <f>IF($B364="","",IF($B364+1&gt;dropdown!$D$12,"",EOMONTH(E365,0)))</f>
        <v/>
      </c>
      <c r="G365" s="56" t="str">
        <f>IF($B364="","",IF($B364+1&gt;dropdown!$D$12,"",(_xlfn.DAYS(F365,E365)+1)/DAY(F365)))</f>
        <v/>
      </c>
      <c r="H365" s="57"/>
      <c r="I365" s="58" t="str">
        <f>IF($B364="","",IF($B364+1&gt;dropdown!$D$12,"",I364-J364))</f>
        <v/>
      </c>
      <c r="J365" s="58" t="str">
        <f>IF($B364="","",IF($B364+1&gt;dropdown!$D$12,"",IF(B364&lt;dropdown!$D$13,0,IF(Aflossingsmethode="Lineair",Aflossingsbedrag,IF(Aflossingsmethode="Annuïteit",IFERROR(Bedrag_annuïteit-K365,0),0)))))</f>
        <v/>
      </c>
      <c r="K365" s="58" t="str">
        <f>IF($B364="","",IF($B364+1&gt;dropdown!$D$12,"",G365*I365*Rentekosten))</f>
        <v/>
      </c>
      <c r="L365" s="58" t="str">
        <f t="shared" si="51"/>
        <v/>
      </c>
      <c r="M365" s="58" t="str">
        <f t="shared" si="45"/>
        <v/>
      </c>
      <c r="N365" s="57"/>
      <c r="O365" s="60" t="str">
        <f t="shared" si="46"/>
        <v/>
      </c>
      <c r="P365" s="60" t="str">
        <f t="shared" si="47"/>
        <v/>
      </c>
      <c r="Q365" s="60" t="str">
        <f t="shared" si="52"/>
        <v/>
      </c>
      <c r="R365" s="57"/>
      <c r="S365" s="58" t="str">
        <f t="shared" si="48"/>
        <v/>
      </c>
      <c r="T365" s="58" t="str">
        <f t="shared" si="49"/>
        <v/>
      </c>
      <c r="U365" s="61" t="str">
        <f t="shared" si="53"/>
        <v/>
      </c>
      <c r="V365" s="58" t="str">
        <f t="shared" si="50"/>
        <v/>
      </c>
      <c r="W365" s="57"/>
    </row>
    <row r="366" spans="1:23" s="59" customFormat="1" x14ac:dyDescent="0.25">
      <c r="A366" s="53"/>
      <c r="B366" s="54" t="str">
        <f>IF($B365="","",IF($B365+1&gt;dropdown!$D$12,"",Schema!B365+1))</f>
        <v/>
      </c>
      <c r="C366" s="55" t="str">
        <f>IF($B365="","",IF($B365+1&gt;dropdown!$D$12,"",EOMONTH(C365,0)+1))</f>
        <v/>
      </c>
      <c r="D366" s="53"/>
      <c r="E366" s="55" t="str">
        <f>IF($B365="","",IF($B365+1&gt;dropdown!$D$12,"",F365+1))</f>
        <v/>
      </c>
      <c r="F366" s="55" t="str">
        <f>IF($B365="","",IF($B365+1&gt;dropdown!$D$12,"",EOMONTH(E366,0)))</f>
        <v/>
      </c>
      <c r="G366" s="56" t="str">
        <f>IF($B365="","",IF($B365+1&gt;dropdown!$D$12,"",(_xlfn.DAYS(F366,E366)+1)/DAY(F366)))</f>
        <v/>
      </c>
      <c r="H366" s="57"/>
      <c r="I366" s="58" t="str">
        <f>IF($B365="","",IF($B365+1&gt;dropdown!$D$12,"",I365-J365))</f>
        <v/>
      </c>
      <c r="J366" s="58" t="str">
        <f>IF($B365="","",IF($B365+1&gt;dropdown!$D$12,"",IF(B365&lt;dropdown!$D$13,0,IF(Aflossingsmethode="Lineair",Aflossingsbedrag,IF(Aflossingsmethode="Annuïteit",IFERROR(Bedrag_annuïteit-K366,0),0)))))</f>
        <v/>
      </c>
      <c r="K366" s="58" t="str">
        <f>IF($B365="","",IF($B365+1&gt;dropdown!$D$12,"",G366*I366*Rentekosten))</f>
        <v/>
      </c>
      <c r="L366" s="58" t="str">
        <f t="shared" si="51"/>
        <v/>
      </c>
      <c r="M366" s="58" t="str">
        <f t="shared" si="45"/>
        <v/>
      </c>
      <c r="N366" s="57"/>
      <c r="O366" s="60" t="str">
        <f t="shared" si="46"/>
        <v/>
      </c>
      <c r="P366" s="60" t="str">
        <f t="shared" si="47"/>
        <v/>
      </c>
      <c r="Q366" s="60" t="str">
        <f t="shared" si="52"/>
        <v/>
      </c>
      <c r="R366" s="57"/>
      <c r="S366" s="58" t="str">
        <f t="shared" si="48"/>
        <v/>
      </c>
      <c r="T366" s="58" t="str">
        <f t="shared" si="49"/>
        <v/>
      </c>
      <c r="U366" s="61" t="str">
        <f t="shared" si="53"/>
        <v/>
      </c>
      <c r="V366" s="58" t="str">
        <f t="shared" si="50"/>
        <v/>
      </c>
      <c r="W366" s="57"/>
    </row>
    <row r="367" spans="1:23" s="59" customFormat="1" x14ac:dyDescent="0.25">
      <c r="A367" s="53"/>
      <c r="B367" s="54" t="str">
        <f>IF($B366="","",IF($B366+1&gt;dropdown!$D$12,"",Schema!B366+1))</f>
        <v/>
      </c>
      <c r="C367" s="55" t="str">
        <f>IF($B366="","",IF($B366+1&gt;dropdown!$D$12,"",EOMONTH(C366,0)+1))</f>
        <v/>
      </c>
      <c r="D367" s="53"/>
      <c r="E367" s="55" t="str">
        <f>IF($B366="","",IF($B366+1&gt;dropdown!$D$12,"",F366+1))</f>
        <v/>
      </c>
      <c r="F367" s="55" t="str">
        <f>IF($B366="","",IF($B366+1&gt;dropdown!$D$12,"",EOMONTH(E367,0)))</f>
        <v/>
      </c>
      <c r="G367" s="56" t="str">
        <f>IF($B366="","",IF($B366+1&gt;dropdown!$D$12,"",(_xlfn.DAYS(F367,E367)+1)/DAY(F367)))</f>
        <v/>
      </c>
      <c r="H367" s="57"/>
      <c r="I367" s="58" t="str">
        <f>IF($B366="","",IF($B366+1&gt;dropdown!$D$12,"",I366-J366))</f>
        <v/>
      </c>
      <c r="J367" s="58" t="str">
        <f>IF($B366="","",IF($B366+1&gt;dropdown!$D$12,"",IF(B366&lt;dropdown!$D$13,0,IF(Aflossingsmethode="Lineair",Aflossingsbedrag,IF(Aflossingsmethode="Annuïteit",IFERROR(Bedrag_annuïteit-K367,0),0)))))</f>
        <v/>
      </c>
      <c r="K367" s="58" t="str">
        <f>IF($B366="","",IF($B366+1&gt;dropdown!$D$12,"",G367*I367*Rentekosten))</f>
        <v/>
      </c>
      <c r="L367" s="58" t="str">
        <f t="shared" si="51"/>
        <v/>
      </c>
      <c r="M367" s="58" t="str">
        <f t="shared" si="45"/>
        <v/>
      </c>
      <c r="N367" s="57"/>
      <c r="O367" s="60" t="str">
        <f t="shared" si="46"/>
        <v/>
      </c>
      <c r="P367" s="60" t="str">
        <f t="shared" si="47"/>
        <v/>
      </c>
      <c r="Q367" s="60" t="str">
        <f t="shared" si="52"/>
        <v/>
      </c>
      <c r="R367" s="57"/>
      <c r="S367" s="58" t="str">
        <f t="shared" si="48"/>
        <v/>
      </c>
      <c r="T367" s="58" t="str">
        <f t="shared" si="49"/>
        <v/>
      </c>
      <c r="U367" s="61" t="str">
        <f t="shared" si="53"/>
        <v/>
      </c>
      <c r="V367" s="58" t="str">
        <f t="shared" si="50"/>
        <v/>
      </c>
      <c r="W367" s="57"/>
    </row>
    <row r="368" spans="1:23" s="59" customFormat="1" x14ac:dyDescent="0.25">
      <c r="A368" s="53"/>
      <c r="B368" s="54" t="str">
        <f>IF($B367="","",IF($B367+1&gt;dropdown!$D$12,"",Schema!B367+1))</f>
        <v/>
      </c>
      <c r="C368" s="55" t="str">
        <f>IF($B367="","",IF($B367+1&gt;dropdown!$D$12,"",EOMONTH(C367,0)+1))</f>
        <v/>
      </c>
      <c r="D368" s="53"/>
      <c r="E368" s="55" t="str">
        <f>IF($B367="","",IF($B367+1&gt;dropdown!$D$12,"",F367+1))</f>
        <v/>
      </c>
      <c r="F368" s="55" t="str">
        <f>IF($B367="","",IF($B367+1&gt;dropdown!$D$12,"",EOMONTH(E368,0)))</f>
        <v/>
      </c>
      <c r="G368" s="56" t="str">
        <f>IF($B367="","",IF($B367+1&gt;dropdown!$D$12,"",(_xlfn.DAYS(F368,E368)+1)/DAY(F368)))</f>
        <v/>
      </c>
      <c r="H368" s="57"/>
      <c r="I368" s="58" t="str">
        <f>IF($B367="","",IF($B367+1&gt;dropdown!$D$12,"",I367-J367))</f>
        <v/>
      </c>
      <c r="J368" s="58" t="str">
        <f>IF($B367="","",IF($B367+1&gt;dropdown!$D$12,"",IF(B367&lt;dropdown!$D$13,0,IF(Aflossingsmethode="Lineair",Aflossingsbedrag,IF(Aflossingsmethode="Annuïteit",IFERROR(Bedrag_annuïteit-K368,0),0)))))</f>
        <v/>
      </c>
      <c r="K368" s="58" t="str">
        <f>IF($B367="","",IF($B367+1&gt;dropdown!$D$12,"",G368*I368*Rentekosten))</f>
        <v/>
      </c>
      <c r="L368" s="58" t="str">
        <f t="shared" si="51"/>
        <v/>
      </c>
      <c r="M368" s="58" t="str">
        <f t="shared" si="45"/>
        <v/>
      </c>
      <c r="N368" s="57"/>
      <c r="O368" s="60" t="str">
        <f t="shared" si="46"/>
        <v/>
      </c>
      <c r="P368" s="60" t="str">
        <f t="shared" si="47"/>
        <v/>
      </c>
      <c r="Q368" s="60" t="str">
        <f t="shared" si="52"/>
        <v/>
      </c>
      <c r="R368" s="57"/>
      <c r="S368" s="58" t="str">
        <f t="shared" si="48"/>
        <v/>
      </c>
      <c r="T368" s="58" t="str">
        <f t="shared" si="49"/>
        <v/>
      </c>
      <c r="U368" s="61" t="str">
        <f t="shared" si="53"/>
        <v/>
      </c>
      <c r="V368" s="58" t="str">
        <f t="shared" si="50"/>
        <v/>
      </c>
      <c r="W368" s="57"/>
    </row>
    <row r="369" spans="1:23" s="59" customFormat="1" x14ac:dyDescent="0.25">
      <c r="A369" s="53"/>
      <c r="B369" s="54" t="str">
        <f>IF($B368="","",IF($B368+1&gt;dropdown!$D$12,"",Schema!B368+1))</f>
        <v/>
      </c>
      <c r="C369" s="55" t="str">
        <f>IF($B368="","",IF($B368+1&gt;dropdown!$D$12,"",EOMONTH(C368,0)+1))</f>
        <v/>
      </c>
      <c r="D369" s="53"/>
      <c r="E369" s="55" t="str">
        <f>IF($B368="","",IF($B368+1&gt;dropdown!$D$12,"",F368+1))</f>
        <v/>
      </c>
      <c r="F369" s="55" t="str">
        <f>IF($B368="","",IF($B368+1&gt;dropdown!$D$12,"",EOMONTH(E369,0)))</f>
        <v/>
      </c>
      <c r="G369" s="56" t="str">
        <f>IF($B368="","",IF($B368+1&gt;dropdown!$D$12,"",(_xlfn.DAYS(F369,E369)+1)/DAY(F369)))</f>
        <v/>
      </c>
      <c r="H369" s="57"/>
      <c r="I369" s="58" t="str">
        <f>IF($B368="","",IF($B368+1&gt;dropdown!$D$12,"",I368-J368))</f>
        <v/>
      </c>
      <c r="J369" s="58" t="str">
        <f>IF($B368="","",IF($B368+1&gt;dropdown!$D$12,"",IF(B368&lt;dropdown!$D$13,0,IF(Aflossingsmethode="Lineair",Aflossingsbedrag,IF(Aflossingsmethode="Annuïteit",IFERROR(Bedrag_annuïteit-K369,0),0)))))</f>
        <v/>
      </c>
      <c r="K369" s="58" t="str">
        <f>IF($B368="","",IF($B368+1&gt;dropdown!$D$12,"",G369*I369*Rentekosten))</f>
        <v/>
      </c>
      <c r="L369" s="58" t="str">
        <f t="shared" si="51"/>
        <v/>
      </c>
      <c r="M369" s="58" t="str">
        <f t="shared" si="45"/>
        <v/>
      </c>
      <c r="N369" s="57"/>
      <c r="O369" s="60" t="str">
        <f t="shared" si="46"/>
        <v/>
      </c>
      <c r="P369" s="60" t="str">
        <f t="shared" si="47"/>
        <v/>
      </c>
      <c r="Q369" s="60" t="str">
        <f t="shared" si="52"/>
        <v/>
      </c>
      <c r="R369" s="57"/>
      <c r="S369" s="58" t="str">
        <f t="shared" si="48"/>
        <v/>
      </c>
      <c r="T369" s="58" t="str">
        <f t="shared" si="49"/>
        <v/>
      </c>
      <c r="U369" s="61" t="str">
        <f t="shared" si="53"/>
        <v/>
      </c>
      <c r="V369" s="58" t="str">
        <f t="shared" si="50"/>
        <v/>
      </c>
      <c r="W369" s="57"/>
    </row>
  </sheetData>
  <sheetProtection algorithmName="SHA-512" hashValue="OfTs3tOe5mFEp6cw772SDHqfzpuiq10KOkUMt6PCpsgG5dRvrXdVUFXer2+DuTKgiCOiCgoAPmwpmUjgVDDu2w==" saltValue="1b9UfncZfrjFOXJND1EmAw==" spinCount="100000" sheet="1" objects="1" scenarios="1"/>
  <mergeCells count="7">
    <mergeCell ref="A1:W2"/>
    <mergeCell ref="A3:W4"/>
    <mergeCell ref="B6:C6"/>
    <mergeCell ref="E6:G6"/>
    <mergeCell ref="I6:M6"/>
    <mergeCell ref="O6:Q6"/>
    <mergeCell ref="S6:V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1"/>
  <sheetViews>
    <sheetView workbookViewId="0">
      <pane ySplit="1" topLeftCell="A2" activePane="bottomLeft" state="frozen"/>
      <selection pane="bottomLeft" activeCell="C9" sqref="C9"/>
    </sheetView>
  </sheetViews>
  <sheetFormatPr defaultRowHeight="15" x14ac:dyDescent="0.25"/>
  <cols>
    <col min="1" max="1" width="5" style="72" customWidth="1"/>
    <col min="2" max="2" width="75.7109375" style="72" customWidth="1"/>
    <col min="3" max="3" width="99.5703125" style="72" bestFit="1" customWidth="1"/>
    <col min="4" max="8" width="75.7109375" style="72" customWidth="1"/>
    <col min="9" max="16384" width="9.140625" style="72"/>
  </cols>
  <sheetData>
    <row r="1" spans="1:8" x14ac:dyDescent="0.25">
      <c r="A1" s="69">
        <v>1</v>
      </c>
      <c r="B1" s="69" t="s">
        <v>63</v>
      </c>
      <c r="C1" s="69" t="s">
        <v>64</v>
      </c>
      <c r="D1" s="69" t="s">
        <v>65</v>
      </c>
      <c r="E1" s="69" t="s">
        <v>115</v>
      </c>
      <c r="F1" s="69" t="s">
        <v>216</v>
      </c>
      <c r="G1" s="69" t="s">
        <v>117</v>
      </c>
      <c r="H1" s="69" t="s">
        <v>116</v>
      </c>
    </row>
    <row r="2" spans="1:8" x14ac:dyDescent="0.25">
      <c r="A2" s="72">
        <v>2</v>
      </c>
      <c r="B2" s="69" t="str">
        <f>HLOOKUP('Rekentool kredieten'!$G$4,$C:$J,$A2,FALSE)</f>
        <v>REKENTOOL FINANCIELE LASTEN BEDRIJFSKREDIET QREDITS</v>
      </c>
      <c r="C2" s="72" t="s">
        <v>0</v>
      </c>
      <c r="D2" s="72" t="s">
        <v>129</v>
      </c>
      <c r="E2" s="72" t="s">
        <v>130</v>
      </c>
      <c r="F2" s="72" t="s">
        <v>131</v>
      </c>
      <c r="G2" s="72" t="s">
        <v>132</v>
      </c>
      <c r="H2" s="72" t="s">
        <v>133</v>
      </c>
    </row>
    <row r="3" spans="1:8" ht="30" x14ac:dyDescent="0.25">
      <c r="A3" s="69">
        <v>3</v>
      </c>
      <c r="B3" s="69" t="str">
        <f>HLOOKUP('Rekentool kredieten'!$G$4,$C:$J,$A3,FALSE)</f>
        <v>N.B. Aan deze opgave kunnen geen rechten worden ontleend. Kijk voor meer informatie op</v>
      </c>
      <c r="C3" s="72" t="s">
        <v>123</v>
      </c>
      <c r="D3" s="72" t="s">
        <v>134</v>
      </c>
      <c r="E3" s="72" t="s">
        <v>135</v>
      </c>
      <c r="F3" s="72" t="s">
        <v>136</v>
      </c>
      <c r="G3" s="72" t="s">
        <v>137</v>
      </c>
      <c r="H3" s="72" t="s">
        <v>138</v>
      </c>
    </row>
    <row r="4" spans="1:8" x14ac:dyDescent="0.25">
      <c r="A4" s="72">
        <v>4</v>
      </c>
      <c r="B4" s="69" t="str">
        <f>HLOOKUP('Rekentool kredieten'!$G$4,$C:$J,$A4,FALSE)</f>
        <v>Selecteer uw land</v>
      </c>
      <c r="C4" s="72" t="s">
        <v>106</v>
      </c>
      <c r="D4" s="72" t="s">
        <v>139</v>
      </c>
      <c r="E4" s="72" t="s">
        <v>140</v>
      </c>
      <c r="F4" s="72" t="s">
        <v>141</v>
      </c>
      <c r="G4" s="72" t="s">
        <v>142</v>
      </c>
      <c r="H4" s="72" t="s">
        <v>143</v>
      </c>
    </row>
    <row r="5" spans="1:8" x14ac:dyDescent="0.25">
      <c r="A5" s="69">
        <v>5</v>
      </c>
      <c r="B5" s="69" t="str">
        <f>HLOOKUP('Rekentool kredieten'!$G$4,$C:$J,$A5,FALSE)</f>
        <v>Vul een gewenst leningbedrag in</v>
      </c>
      <c r="C5" s="72" t="s">
        <v>67</v>
      </c>
      <c r="D5" s="72" t="s">
        <v>144</v>
      </c>
      <c r="E5" s="72" t="s">
        <v>145</v>
      </c>
      <c r="F5" s="72" t="s">
        <v>146</v>
      </c>
      <c r="G5" s="72" t="s">
        <v>147</v>
      </c>
      <c r="H5" s="72" t="s">
        <v>148</v>
      </c>
    </row>
    <row r="6" spans="1:8" x14ac:dyDescent="0.25">
      <c r="A6" s="72">
        <v>6</v>
      </c>
      <c r="B6" s="69" t="str">
        <f>HLOOKUP('Rekentool kredieten'!$G$4,$C:$J,$A6,FALSE)</f>
        <v>Selecteer de looptijd (in jaren)</v>
      </c>
      <c r="C6" s="72" t="s">
        <v>68</v>
      </c>
      <c r="D6" s="72" t="s">
        <v>149</v>
      </c>
      <c r="E6" s="72" t="s">
        <v>150</v>
      </c>
      <c r="F6" s="72" t="s">
        <v>151</v>
      </c>
      <c r="G6" s="72" t="s">
        <v>152</v>
      </c>
      <c r="H6" s="72" t="s">
        <v>153</v>
      </c>
    </row>
    <row r="7" spans="1:8" x14ac:dyDescent="0.25">
      <c r="A7" s="69">
        <v>7</v>
      </c>
      <c r="B7" s="69" t="str">
        <f>HLOOKUP('Rekentool kredieten'!$G$4,$C:$J,$A7,FALSE)</f>
        <v>Selecteer de aflosvrije periode (in maanden)</v>
      </c>
      <c r="C7" s="72" t="s">
        <v>69</v>
      </c>
      <c r="D7" s="72" t="s">
        <v>154</v>
      </c>
      <c r="E7" s="72" t="s">
        <v>155</v>
      </c>
      <c r="F7" s="72" t="s">
        <v>156</v>
      </c>
      <c r="G7" s="72" t="s">
        <v>157</v>
      </c>
      <c r="H7" s="72" t="s">
        <v>158</v>
      </c>
    </row>
    <row r="8" spans="1:8" x14ac:dyDescent="0.25">
      <c r="A8" s="72">
        <v>8</v>
      </c>
      <c r="B8" s="69" t="str">
        <f>HLOOKUP('Rekentool kredieten'!$G$4,$C:$J,$A8,FALSE)</f>
        <v>Rentepercentage op jaarbasis*</v>
      </c>
      <c r="C8" s="72" t="s">
        <v>17</v>
      </c>
      <c r="D8" s="72" t="s">
        <v>159</v>
      </c>
      <c r="E8" s="72" t="s">
        <v>203</v>
      </c>
      <c r="F8" s="72" t="s">
        <v>160</v>
      </c>
      <c r="G8" s="72" t="s">
        <v>160</v>
      </c>
      <c r="H8" s="72" t="s">
        <v>204</v>
      </c>
    </row>
    <row r="9" spans="1:8" x14ac:dyDescent="0.25">
      <c r="A9" s="69">
        <v>9</v>
      </c>
      <c r="B9" s="69" t="str">
        <f>HLOOKUP('Rekentool kredieten'!$G$4,$C:$J,$A9,FALSE)</f>
        <v>* Rente onder voorbehoud van risico en wijzigingen</v>
      </c>
      <c r="C9" s="72" t="s">
        <v>22</v>
      </c>
      <c r="D9" s="72" t="s">
        <v>202</v>
      </c>
      <c r="E9" s="72" t="s">
        <v>201</v>
      </c>
      <c r="F9" s="72" t="s">
        <v>200</v>
      </c>
      <c r="G9" s="72" t="s">
        <v>161</v>
      </c>
      <c r="H9" s="72" t="s">
        <v>162</v>
      </c>
    </row>
    <row r="10" spans="1:8" x14ac:dyDescent="0.25">
      <c r="A10" s="72">
        <v>10</v>
      </c>
      <c r="B10" s="69" t="str">
        <f>HLOOKUP('Rekentool kredieten'!$G$4,$C:$J,$A10,FALSE)</f>
        <v>Selecteer uw taal</v>
      </c>
      <c r="C10" s="72" t="s">
        <v>107</v>
      </c>
      <c r="D10" s="72" t="s">
        <v>163</v>
      </c>
      <c r="E10" s="72" t="s">
        <v>164</v>
      </c>
      <c r="F10" s="72" t="s">
        <v>165</v>
      </c>
      <c r="G10" s="72" t="s">
        <v>165</v>
      </c>
      <c r="H10" s="72" t="s">
        <v>166</v>
      </c>
    </row>
    <row r="11" spans="1:8" x14ac:dyDescent="0.25">
      <c r="A11" s="69">
        <v>11</v>
      </c>
      <c r="B11" s="69" t="str">
        <f>HLOOKUP('Rekentool kredieten'!$G$4,$C:$J,$A11,FALSE)</f>
        <v>Aflossingsmethode</v>
      </c>
      <c r="C11" s="72" t="s">
        <v>66</v>
      </c>
      <c r="D11" s="72" t="s">
        <v>167</v>
      </c>
      <c r="E11" s="72" t="s">
        <v>168</v>
      </c>
      <c r="F11" s="72" t="s">
        <v>169</v>
      </c>
      <c r="G11" s="72" t="s">
        <v>169</v>
      </c>
      <c r="H11" s="72" t="s">
        <v>170</v>
      </c>
    </row>
    <row r="12" spans="1:8" x14ac:dyDescent="0.25">
      <c r="A12" s="72">
        <v>12</v>
      </c>
      <c r="B12" s="69" t="str">
        <f>HLOOKUP('Rekentool kredieten'!$G$4,$C:$J,$A12,FALSE)</f>
        <v>Afsluitkosten</v>
      </c>
      <c r="C12" s="72" t="s">
        <v>2</v>
      </c>
      <c r="D12" s="72" t="s">
        <v>78</v>
      </c>
      <c r="E12" s="72" t="s">
        <v>79</v>
      </c>
      <c r="F12" s="72" t="s">
        <v>80</v>
      </c>
      <c r="G12" s="72" t="s">
        <v>80</v>
      </c>
      <c r="H12" s="72" t="s">
        <v>81</v>
      </c>
    </row>
    <row r="13" spans="1:8" x14ac:dyDescent="0.25">
      <c r="A13" s="69">
        <v>13</v>
      </c>
      <c r="B13" s="69" t="str">
        <f>HLOOKUP('Rekentool kredieten'!$G$4,$C:$J,$A13,FALSE)</f>
        <v>Bedrag annuïteit</v>
      </c>
      <c r="C13" s="72" t="str">
        <f>IF(Aflossingsmethode=dropdown!K10,"Bedrag annuïteit","Bedrag aflossing")</f>
        <v>Bedrag annuïteit</v>
      </c>
      <c r="D13" s="72" t="str">
        <f>IF(Aflossingsmethode=dropdown!K10,"Redemption and interest amount per month","Redemption amount per month")</f>
        <v>Redemption and interest amount per month</v>
      </c>
      <c r="E13" s="72" t="s">
        <v>82</v>
      </c>
      <c r="F13" s="72" t="s">
        <v>83</v>
      </c>
      <c r="G13" s="72" t="s">
        <v>84</v>
      </c>
      <c r="H13" s="72" t="s">
        <v>85</v>
      </c>
    </row>
    <row r="14" spans="1:8" x14ac:dyDescent="0.25">
      <c r="A14" s="72">
        <v>14</v>
      </c>
      <c r="B14" s="69" t="str">
        <f>HLOOKUP('Rekentool kredieten'!$G$4,$C:$J,$A14,FALSE)</f>
        <v>Totaal te betalen rentebedrag</v>
      </c>
      <c r="C14" s="72" t="s">
        <v>21</v>
      </c>
      <c r="D14" s="72" t="s">
        <v>171</v>
      </c>
      <c r="E14" s="72" t="s">
        <v>172</v>
      </c>
      <c r="F14" s="72" t="s">
        <v>173</v>
      </c>
      <c r="G14" s="72" t="s">
        <v>174</v>
      </c>
      <c r="H14" s="72" t="s">
        <v>175</v>
      </c>
    </row>
    <row r="15" spans="1:8" x14ac:dyDescent="0.25">
      <c r="A15" s="69">
        <v>15</v>
      </c>
      <c r="B15" s="69" t="str">
        <f>HLOOKUP('Rekentool kredieten'!$G$4,$C:$J,$A15,FALSE)</f>
        <v>Staatsgarantie</v>
      </c>
      <c r="C15" s="72" t="s">
        <v>70</v>
      </c>
      <c r="D15" s="72" t="s">
        <v>176</v>
      </c>
      <c r="E15" s="72" t="s">
        <v>177</v>
      </c>
      <c r="F15" s="72" t="s">
        <v>178</v>
      </c>
      <c r="G15" s="72" t="s">
        <v>178</v>
      </c>
      <c r="H15" s="72" t="s">
        <v>179</v>
      </c>
    </row>
    <row r="16" spans="1:8" x14ac:dyDescent="0.25">
      <c r="A16" s="72">
        <v>16</v>
      </c>
      <c r="B16" s="69" t="str">
        <f>HLOOKUP('Rekentool kredieten'!$G$4,$C:$J,$A16,FALSE)</f>
        <v>Staatssteun</v>
      </c>
      <c r="C16" s="72" t="s">
        <v>23</v>
      </c>
      <c r="D16" s="72" t="s">
        <v>180</v>
      </c>
      <c r="E16" s="72" t="s">
        <v>181</v>
      </c>
      <c r="F16" s="72" t="s">
        <v>182</v>
      </c>
      <c r="G16" s="72" t="s">
        <v>183</v>
      </c>
      <c r="H16" s="72" t="s">
        <v>184</v>
      </c>
    </row>
    <row r="17" spans="1:8" x14ac:dyDescent="0.25">
      <c r="A17" s="69">
        <v>17</v>
      </c>
      <c r="B17" s="69" t="str">
        <f>HLOOKUP('Rekentool kredieten'!$G$4,$C:$J,$A17,FALSE)</f>
        <v>Garantiepremie</v>
      </c>
      <c r="C17" s="72" t="s">
        <v>12</v>
      </c>
      <c r="D17" s="72" t="s">
        <v>210</v>
      </c>
      <c r="E17" s="72" t="s">
        <v>185</v>
      </c>
      <c r="F17" s="72" t="s">
        <v>186</v>
      </c>
      <c r="G17" s="72" t="s">
        <v>187</v>
      </c>
      <c r="H17" s="72" t="s">
        <v>188</v>
      </c>
    </row>
    <row r="18" spans="1:8" x14ac:dyDescent="0.25">
      <c r="A18" s="72">
        <v>18</v>
      </c>
      <c r="B18" s="69" t="str">
        <f>HLOOKUP('Rekentool kredieten'!$G$4,$C:$J,$A18,FALSE)</f>
        <v>Effectieve rente**</v>
      </c>
      <c r="C18" s="72" t="s">
        <v>40</v>
      </c>
      <c r="D18" s="72" t="s">
        <v>124</v>
      </c>
      <c r="E18" s="72" t="s">
        <v>125</v>
      </c>
      <c r="F18" s="72" t="s">
        <v>126</v>
      </c>
      <c r="G18" s="72" t="s">
        <v>127</v>
      </c>
      <c r="H18" s="72" t="s">
        <v>128</v>
      </c>
    </row>
    <row r="19" spans="1:8" x14ac:dyDescent="0.25">
      <c r="A19" s="69">
        <v>19</v>
      </c>
      <c r="B19" s="69" t="str">
        <f>HLOOKUP('Rekentool kredieten'!$G$4,$C:$J,$A19,FALSE)</f>
        <v>** Ter indicatie</v>
      </c>
      <c r="C19" s="72" t="s">
        <v>41</v>
      </c>
      <c r="D19" s="72" t="s">
        <v>211</v>
      </c>
      <c r="E19" s="72" t="s">
        <v>189</v>
      </c>
      <c r="F19" s="72" t="s">
        <v>190</v>
      </c>
      <c r="G19" s="72" t="s">
        <v>190</v>
      </c>
      <c r="H19" s="72" t="s">
        <v>191</v>
      </c>
    </row>
    <row r="20" spans="1:8" x14ac:dyDescent="0.25">
      <c r="A20" s="72">
        <v>20</v>
      </c>
      <c r="B20" s="69" t="str">
        <f>HLOOKUP('Rekentool kredieten'!$G$4,$C:$J,$A20,FALSE)</f>
        <v xml:space="preserve">  mogelijk vanaf € 50.000</v>
      </c>
      <c r="C20" s="72" t="s">
        <v>35</v>
      </c>
      <c r="D20" s="72" t="s">
        <v>205</v>
      </c>
      <c r="E20" s="72" t="s">
        <v>206</v>
      </c>
      <c r="F20" s="72" t="s">
        <v>207</v>
      </c>
      <c r="G20" s="72" t="s">
        <v>208</v>
      </c>
      <c r="H20" s="72" t="s">
        <v>209</v>
      </c>
    </row>
    <row r="21" spans="1:8" x14ac:dyDescent="0.25">
      <c r="A21" s="69">
        <v>21</v>
      </c>
      <c r="B21" s="69" t="str">
        <f>HLOOKUP('Rekentool kredieten'!$G$4,$C:$J,$A21,FALSE)</f>
        <v>Uw lening</v>
      </c>
      <c r="C21" s="72" t="s">
        <v>71</v>
      </c>
      <c r="D21" s="72" t="s">
        <v>192</v>
      </c>
      <c r="E21" s="72" t="s">
        <v>193</v>
      </c>
      <c r="F21" s="72" t="s">
        <v>194</v>
      </c>
      <c r="G21" s="72" t="s">
        <v>195</v>
      </c>
      <c r="H21" s="72" t="s">
        <v>193</v>
      </c>
    </row>
    <row r="22" spans="1:8" x14ac:dyDescent="0.25">
      <c r="A22" s="72">
        <v>22</v>
      </c>
      <c r="B22" s="69" t="str">
        <f>HLOOKUP('Rekentool kredieten'!$G$4,$C:$J,$A22,FALSE)</f>
        <v>Specificatie</v>
      </c>
      <c r="C22" s="72" t="s">
        <v>72</v>
      </c>
      <c r="D22" s="72" t="s">
        <v>196</v>
      </c>
      <c r="E22" s="72" t="s">
        <v>197</v>
      </c>
      <c r="F22" s="72" t="s">
        <v>198</v>
      </c>
      <c r="G22" s="72" t="s">
        <v>198</v>
      </c>
      <c r="H22" s="72" t="s">
        <v>199</v>
      </c>
    </row>
    <row r="23" spans="1:8" x14ac:dyDescent="0.25">
      <c r="A23" s="69">
        <v>23</v>
      </c>
      <c r="B23" s="69" t="str">
        <f>HLOOKUP('Rekentool kredieten'!$G$4,$C:$J,$A23,FALSE)</f>
        <v>Jaar</v>
      </c>
      <c r="C23" s="72" t="s">
        <v>77</v>
      </c>
      <c r="D23" s="72" t="s">
        <v>108</v>
      </c>
      <c r="E23" s="72" t="s">
        <v>110</v>
      </c>
      <c r="F23" s="72" t="s">
        <v>109</v>
      </c>
      <c r="G23" s="72" t="s">
        <v>109</v>
      </c>
      <c r="H23" s="72" t="s">
        <v>110</v>
      </c>
    </row>
    <row r="24" spans="1:8" x14ac:dyDescent="0.25">
      <c r="A24" s="72">
        <v>24</v>
      </c>
      <c r="B24" s="69" t="str">
        <f>HLOOKUP('Rekentool kredieten'!$G$4,$C:$J,$A24,FALSE)</f>
        <v>Bedrag lening begin maand</v>
      </c>
      <c r="C24" s="72" t="s">
        <v>73</v>
      </c>
      <c r="D24" s="72" t="s">
        <v>86</v>
      </c>
      <c r="E24" s="72" t="s">
        <v>87</v>
      </c>
      <c r="F24" s="72" t="s">
        <v>88</v>
      </c>
      <c r="G24" s="72" t="s">
        <v>89</v>
      </c>
      <c r="H24" s="72" t="s">
        <v>90</v>
      </c>
    </row>
    <row r="25" spans="1:8" x14ac:dyDescent="0.25">
      <c r="A25" s="69">
        <v>25</v>
      </c>
      <c r="B25" s="69" t="str">
        <f>HLOOKUP('Rekentool kredieten'!$G$4,$C:$J,$A25,FALSE)</f>
        <v>Kosten rente per maand</v>
      </c>
      <c r="C25" s="72" t="s">
        <v>74</v>
      </c>
      <c r="D25" s="72" t="s">
        <v>91</v>
      </c>
      <c r="E25" s="72" t="s">
        <v>92</v>
      </c>
      <c r="F25" s="72" t="s">
        <v>93</v>
      </c>
      <c r="G25" s="72" t="s">
        <v>94</v>
      </c>
      <c r="H25" s="72" t="s">
        <v>95</v>
      </c>
    </row>
    <row r="26" spans="1:8" x14ac:dyDescent="0.25">
      <c r="A26" s="72">
        <v>26</v>
      </c>
      <c r="B26" s="69" t="str">
        <f>HLOOKUP('Rekentool kredieten'!$G$4,$C:$J,$A26,FALSE)</f>
        <v>Aflossing per maand</v>
      </c>
      <c r="C26" s="72" t="s">
        <v>75</v>
      </c>
      <c r="D26" s="72" t="s">
        <v>96</v>
      </c>
      <c r="E26" s="72" t="s">
        <v>97</v>
      </c>
      <c r="F26" s="72" t="s">
        <v>98</v>
      </c>
      <c r="G26" s="72" t="s">
        <v>99</v>
      </c>
      <c r="H26" s="72" t="s">
        <v>97</v>
      </c>
    </row>
    <row r="27" spans="1:8" x14ac:dyDescent="0.25">
      <c r="A27" s="69">
        <v>27</v>
      </c>
      <c r="B27" s="69" t="str">
        <f>HLOOKUP('Rekentool kredieten'!$G$4,$C:$J,$A27,FALSE)</f>
        <v>Afsluitkosten</v>
      </c>
      <c r="C27" s="72" t="s">
        <v>2</v>
      </c>
      <c r="D27" s="72" t="s">
        <v>78</v>
      </c>
      <c r="E27" s="72" t="s">
        <v>79</v>
      </c>
      <c r="F27" s="72" t="s">
        <v>80</v>
      </c>
      <c r="G27" s="72" t="s">
        <v>80</v>
      </c>
      <c r="H27" s="72" t="s">
        <v>81</v>
      </c>
    </row>
    <row r="28" spans="1:8" x14ac:dyDescent="0.25">
      <c r="A28" s="72">
        <v>28</v>
      </c>
      <c r="B28" s="69" t="str">
        <f>HLOOKUP('Rekentool kredieten'!$G$4,$C:$J,$A28,FALSE)</f>
        <v>Garantiepremie</v>
      </c>
      <c r="C28" s="72" t="s">
        <v>12</v>
      </c>
      <c r="D28" s="72" t="s">
        <v>210</v>
      </c>
      <c r="E28" s="72" t="s">
        <v>185</v>
      </c>
      <c r="F28" s="72" t="s">
        <v>186</v>
      </c>
      <c r="G28" s="72" t="s">
        <v>187</v>
      </c>
      <c r="H28" s="72" t="s">
        <v>188</v>
      </c>
    </row>
    <row r="29" spans="1:8" x14ac:dyDescent="0.25">
      <c r="A29" s="69">
        <v>29</v>
      </c>
      <c r="B29" s="69" t="str">
        <f>HLOOKUP('Rekentool kredieten'!$G$4,$C:$J,$A29,FALSE)</f>
        <v>Te betalen per maand</v>
      </c>
      <c r="C29" s="72" t="s">
        <v>76</v>
      </c>
      <c r="D29" s="72" t="s">
        <v>100</v>
      </c>
      <c r="E29" s="72" t="s">
        <v>101</v>
      </c>
      <c r="F29" s="72" t="s">
        <v>102</v>
      </c>
      <c r="G29" s="72" t="s">
        <v>103</v>
      </c>
      <c r="H29" s="72" t="s">
        <v>104</v>
      </c>
    </row>
    <row r="30" spans="1:8" x14ac:dyDescent="0.25">
      <c r="A30" s="72">
        <v>30</v>
      </c>
      <c r="B30" s="69" t="str">
        <f>HLOOKUP('Rekentool kredieten'!$G$4,$C:$J,$A30,FALSE)</f>
        <v>Staatssteun</v>
      </c>
      <c r="C30" s="72" t="s">
        <v>23</v>
      </c>
      <c r="D30" s="72" t="s">
        <v>180</v>
      </c>
      <c r="E30" s="72" t="s">
        <v>181</v>
      </c>
      <c r="F30" s="72" t="s">
        <v>182</v>
      </c>
      <c r="G30" s="72" t="s">
        <v>183</v>
      </c>
      <c r="H30" s="72" t="s">
        <v>184</v>
      </c>
    </row>
    <row r="31" spans="1:8" x14ac:dyDescent="0.25">
      <c r="A31" s="69">
        <v>31</v>
      </c>
      <c r="B31" s="69" t="str">
        <f>HLOOKUP('Rekentool kredieten'!$G$4,$C:$J,$A31,FALSE)</f>
        <v>totaal</v>
      </c>
      <c r="C31" s="72" t="s">
        <v>20</v>
      </c>
      <c r="D31" s="72" t="s">
        <v>105</v>
      </c>
      <c r="E31" s="72" t="s">
        <v>105</v>
      </c>
      <c r="F31" s="72" t="s">
        <v>105</v>
      </c>
      <c r="G31" s="72" t="s">
        <v>105</v>
      </c>
      <c r="H31" s="72" t="s">
        <v>105</v>
      </c>
    </row>
  </sheetData>
  <sheetProtection algorithmName="SHA-512" hashValue="tuHT6sZsypGdrK1CTcVe/Aolru+yFiFgaOMcHi4eatVTjmUZcp4c3tgrpeadbB4ecmlhSpewfTUa6m4z2WFD7Q==" saltValue="7U6eUnSQxgfZM8fC4MFiu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33</vt:i4>
      </vt:variant>
    </vt:vector>
  </HeadingPairs>
  <TitlesOfParts>
    <vt:vector size="37" baseType="lpstr">
      <vt:lpstr>Rekentool kredieten</vt:lpstr>
      <vt:lpstr>dropdown</vt:lpstr>
      <vt:lpstr>Schema</vt:lpstr>
      <vt:lpstr>Vertaling</vt:lpstr>
      <vt:lpstr>'Rekentool kredieten'!Afdrukbereik</vt:lpstr>
      <vt:lpstr>'Rekentool kredieten'!Afdruktitels</vt:lpstr>
      <vt:lpstr>Aflossing</vt:lpstr>
      <vt:lpstr>Aflossingsbedrag</vt:lpstr>
      <vt:lpstr>Aflossingsmethode</vt:lpstr>
      <vt:lpstr>Aflosvariant</vt:lpstr>
      <vt:lpstr>APR</vt:lpstr>
      <vt:lpstr>Aruba</vt:lpstr>
      <vt:lpstr>Bedrag_annuïteit</vt:lpstr>
      <vt:lpstr>Bonaire</vt:lpstr>
      <vt:lpstr>Curacao</vt:lpstr>
      <vt:lpstr>EffectieveRente</vt:lpstr>
      <vt:lpstr>Garantie</vt:lpstr>
      <vt:lpstr>GemiddeldBedrag</vt:lpstr>
      <vt:lpstr>Ja_Nee</vt:lpstr>
      <vt:lpstr>Kosten</vt:lpstr>
      <vt:lpstr>Krediet</vt:lpstr>
      <vt:lpstr>Land</vt:lpstr>
      <vt:lpstr>Lening</vt:lpstr>
      <vt:lpstr>Looptijd</vt:lpstr>
      <vt:lpstr>Looptijd_BMKB</vt:lpstr>
      <vt:lpstr>Looptijd_Micro</vt:lpstr>
      <vt:lpstr>Nederland</vt:lpstr>
      <vt:lpstr>Rente</vt:lpstr>
      <vt:lpstr>Rente_Car</vt:lpstr>
      <vt:lpstr>Rente_NL</vt:lpstr>
      <vt:lpstr>Rentekosten</vt:lpstr>
      <vt:lpstr>RenteTotaal</vt:lpstr>
      <vt:lpstr>St.Maarten</vt:lpstr>
      <vt:lpstr>Staatssteun1</vt:lpstr>
      <vt:lpstr>Staatssteun2</vt:lpstr>
      <vt:lpstr>Tekst1</vt:lpstr>
      <vt:lpstr>Tekst2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Wassink</dc:creator>
  <cp:lastModifiedBy>Lennart Boeringa</cp:lastModifiedBy>
  <cp:lastPrinted>2015-09-03T11:49:40Z</cp:lastPrinted>
  <dcterms:created xsi:type="dcterms:W3CDTF">2013-11-15T09:28:25Z</dcterms:created>
  <dcterms:modified xsi:type="dcterms:W3CDTF">2023-10-03T07:34:01Z</dcterms:modified>
</cp:coreProperties>
</file>