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C:\Users\l.boeringa\Downloads\"/>
    </mc:Choice>
  </mc:AlternateContent>
  <xr:revisionPtr revIDLastSave="0" documentId="8_{AF8B42AA-64C0-4C0A-989F-9C49EAEAFC2A}" xr6:coauthVersionLast="47" xr6:coauthVersionMax="47" xr10:uidLastSave="{00000000-0000-0000-0000-000000000000}"/>
  <bookViews>
    <workbookView xWindow="-120" yWindow="-120" windowWidth="29040" windowHeight="15840" tabRatio="738" xr2:uid="{00000000-000D-0000-FFFF-FFFF00000000}"/>
  </bookViews>
  <sheets>
    <sheet name="Intro" sheetId="11" r:id="rId1"/>
    <sheet name="Investering &amp; Financiering" sheetId="3" r:id="rId2"/>
    <sheet name="Balans" sheetId="4" r:id="rId3"/>
    <sheet name="Privé" sheetId="14" r:id="rId4"/>
    <sheet name="Verkoop" sheetId="1" r:id="rId5"/>
    <sheet name="Inkoop" sheetId="2" r:id="rId6"/>
    <sheet name="Liquiditeit" sheetId="5" r:id="rId7"/>
    <sheet name="Exploitatie" sheetId="6" r:id="rId8"/>
    <sheet name="Qredits maandlasten" sheetId="9" r:id="rId9"/>
    <sheet name="Begrippenlijst Belastingdienst" sheetId="13" r:id="rId10"/>
    <sheet name="Schema" sheetId="15" state="hidden" r:id="rId11"/>
    <sheet name="IB" sheetId="8" r:id="rId12"/>
    <sheet name="Dropdowns" sheetId="12" state="hidden" r:id="rId13"/>
  </sheets>
  <definedNames>
    <definedName name="_xlnm.Print_Area" localSheetId="2">Balans!$B$2:$K$55</definedName>
    <definedName name="_xlnm.Print_Area" localSheetId="7">Exploitatie!$B$2:$I$56</definedName>
    <definedName name="_xlnm.Print_Area" localSheetId="5">Inkoop!$B$3:$R$114</definedName>
    <definedName name="_xlnm.Print_Area" localSheetId="0">Intro!$A$2:$D$62</definedName>
    <definedName name="_xlnm.Print_Area" localSheetId="1">'Investering &amp; Financiering'!$B$2:$G$59</definedName>
    <definedName name="_xlnm.Print_Area" localSheetId="6">Liquiditeit!$B$2:$R$119</definedName>
    <definedName name="_xlnm.Print_Area" localSheetId="3">Privé!$B$2:$M$117</definedName>
    <definedName name="_xlnm.Print_Area" localSheetId="8">'Qredits maandlasten'!$B$2:$O$84</definedName>
    <definedName name="_xlnm.Print_Area" localSheetId="4">Verkoop!$B$3:$R$101</definedName>
    <definedName name="_xlnm.Print_Titles" localSheetId="5">Inkoop!$3:$11</definedName>
    <definedName name="_xlnm.Print_Titles" localSheetId="6">Liquiditeit!$3:$8</definedName>
    <definedName name="_xlnm.Print_Titles" localSheetId="3">Privé!$2:$12</definedName>
    <definedName name="_xlnm.Print_Titles" localSheetId="8">'Qredits maandlasten'!$2:$12</definedName>
    <definedName name="_xlnm.Print_Titles" localSheetId="4">Verkoop!$3:$12</definedName>
    <definedName name="Aflosmethode">Dropdowns!$P$2:$P$3</definedName>
    <definedName name="Betalen">Dropdowns!$B$7:$B$12</definedName>
    <definedName name="BTW">Dropdowns!$B$26:$B$29</definedName>
    <definedName name="Cashflow_met_kosten">OFFSET(Schema!$M$9,0,0,'Qredits maandlasten'!$C$7+1,1)</definedName>
    <definedName name="Cashflow_zonder_kosten">OFFSET(Schema!$L$9,0,0,'Qredits maandlasten'!$C$7+1,1)</definedName>
    <definedName name="Datums">OFFSET(Schema!$C$9,0,0,'Qredits maandlasten'!$C$7+1,1)</definedName>
    <definedName name="Grace_Period">Dropdowns!$D$2:$D$7</definedName>
    <definedName name="Ja_Nee">Dropdowns!$B$2:$B$4</definedName>
    <definedName name="Looptijd">Dropdowns!$H$2:$H$21</definedName>
    <definedName name="Meewerkaftrek">Dropdowns!$N$2:$N$8</definedName>
    <definedName name="Ondernemers">Dropdowns!$T$2:$T$4</definedName>
    <definedName name="Periodiek">Dropdowns!$B$15:$B$19</definedName>
    <definedName name="Rechtsvorm">Dropdowns!$R$2:$R$4</definedName>
    <definedName name="Z_E8D2897D_F373_4833_ABA9_6A8879B86992_.wvu.PrintArea" localSheetId="2" hidden="1">Balans!$B$2:$J$24</definedName>
    <definedName name="Z_E8D2897D_F373_4833_ABA9_6A8879B86992_.wvu.PrintArea" localSheetId="7" hidden="1">Exploitatie!$C$2:$I$56</definedName>
    <definedName name="Z_E8D2897D_F373_4833_ABA9_6A8879B86992_.wvu.PrintArea" localSheetId="5" hidden="1">Inkoop!$B$2:$R$57</definedName>
    <definedName name="Z_E8D2897D_F373_4833_ABA9_6A8879B86992_.wvu.PrintArea" localSheetId="1" hidden="1">'Investering &amp; Financiering'!$B$6:$J$27,'Investering &amp; Financiering'!$B$28:$K$34</definedName>
    <definedName name="Z_E8D2897D_F373_4833_ABA9_6A8879B86992_.wvu.PrintArea" localSheetId="6" hidden="1">Liquiditeit!$B$2:$R$84</definedName>
    <definedName name="Z_E8D2897D_F373_4833_ABA9_6A8879B86992_.wvu.PrintArea" localSheetId="8" hidden="1">'Qredits maandlasten'!$B$2:$Q$85</definedName>
    <definedName name="Z_E8D2897D_F373_4833_ABA9_6A8879B86992_.wvu.PrintArea" localSheetId="4" hidden="1">Verkoop!$B$2:$R$71</definedName>
    <definedName name="Z_E8D2897D_F373_4833_ABA9_6A8879B86992_.wvu.Rows" localSheetId="1" hidden="1">'Investering &amp; Financiering'!#REF!</definedName>
    <definedName name="Z_E8D2897D_F373_4833_ABA9_6A8879B86992_.wvu.Rows" localSheetId="8" hidden="1">'Qredits maandlasten'!$5:$5</definedName>
  </definedNames>
  <calcPr calcId="191029"/>
  <customWorkbookViews>
    <customWorkbookView name="Qredits - Persoonlijke weergave" guid="{E8D2897D-F373-4833-ABA9-6A8879B86992}" mergeInterval="0" personalView="1" maximized="1" xWindow="1" yWindow="1" windowWidth="1192" windowHeight="764"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8" i="8" l="1"/>
  <c r="J57" i="8"/>
  <c r="J56" i="8"/>
  <c r="J55" i="8"/>
  <c r="J49" i="8"/>
  <c r="J48" i="8"/>
  <c r="J32" i="8"/>
  <c r="J31" i="8"/>
  <c r="J30" i="8"/>
  <c r="J29" i="8"/>
  <c r="J23" i="8"/>
  <c r="J22" i="8"/>
  <c r="J21" i="8"/>
  <c r="J20" i="8"/>
  <c r="E51" i="3"/>
  <c r="F23" i="3"/>
  <c r="F26" i="3" s="1"/>
  <c r="E39" i="3" s="1"/>
  <c r="E105" i="5"/>
  <c r="P71" i="5"/>
  <c r="O71" i="5"/>
  <c r="N71" i="5"/>
  <c r="M71" i="5"/>
  <c r="L71" i="5"/>
  <c r="K71" i="5"/>
  <c r="J71" i="5"/>
  <c r="I71" i="5"/>
  <c r="H71" i="5"/>
  <c r="G71" i="5"/>
  <c r="F71" i="5"/>
  <c r="E71" i="5"/>
  <c r="F33" i="5"/>
  <c r="G33" i="5"/>
  <c r="H33" i="5"/>
  <c r="I33" i="5"/>
  <c r="J33" i="5"/>
  <c r="K33" i="5"/>
  <c r="L33" i="5"/>
  <c r="M33" i="5"/>
  <c r="N33" i="5"/>
  <c r="O33" i="5"/>
  <c r="P33" i="5"/>
  <c r="E33" i="5"/>
  <c r="P49" i="8"/>
  <c r="V49" i="8" s="1"/>
  <c r="V110" i="8" s="1"/>
  <c r="V170" i="8" s="1"/>
  <c r="Q48" i="8"/>
  <c r="W48" i="8" s="1"/>
  <c r="W109" i="8" s="1"/>
  <c r="W169" i="8" s="1"/>
  <c r="P48" i="8"/>
  <c r="P109" i="8" s="1"/>
  <c r="P169" i="8" s="1"/>
  <c r="Q47" i="8"/>
  <c r="W47" i="8" s="1"/>
  <c r="W108" i="8" s="1"/>
  <c r="W168" i="8" s="1"/>
  <c r="P47" i="8"/>
  <c r="V47" i="8" s="1"/>
  <c r="V108" i="8" s="1"/>
  <c r="V168" i="8" s="1"/>
  <c r="J110" i="8"/>
  <c r="J170" i="8" s="1"/>
  <c r="K109" i="8"/>
  <c r="K169" i="8" s="1"/>
  <c r="J109" i="8"/>
  <c r="J169" i="8" s="1"/>
  <c r="K108" i="8"/>
  <c r="K168" i="8" s="1"/>
  <c r="J108" i="8"/>
  <c r="J168" i="8" s="1"/>
  <c r="G9" i="3"/>
  <c r="D8" i="4" s="1"/>
  <c r="G12" i="3"/>
  <c r="G14" i="3"/>
  <c r="G64" i="6" s="1"/>
  <c r="G10" i="3"/>
  <c r="G60" i="6" s="1"/>
  <c r="H69" i="6" s="1"/>
  <c r="G11" i="3"/>
  <c r="G61" i="6" s="1"/>
  <c r="G13" i="3"/>
  <c r="G63" i="6" s="1"/>
  <c r="B12" i="14"/>
  <c r="J1" i="8" s="1"/>
  <c r="H15" i="14"/>
  <c r="L15" i="14"/>
  <c r="J89" i="8"/>
  <c r="J149" i="8" s="1"/>
  <c r="K89" i="8"/>
  <c r="K149" i="8" s="1"/>
  <c r="J90" i="8"/>
  <c r="J150" i="8" s="1"/>
  <c r="K90" i="8"/>
  <c r="K150" i="8" s="1"/>
  <c r="L90" i="8"/>
  <c r="L150" i="8" s="1"/>
  <c r="J91" i="8"/>
  <c r="J151" i="8" s="1"/>
  <c r="K91" i="8"/>
  <c r="K151" i="8" s="1"/>
  <c r="J92" i="8"/>
  <c r="J152" i="8" s="1"/>
  <c r="K92" i="8"/>
  <c r="K152" i="8" s="1"/>
  <c r="J93" i="8"/>
  <c r="J153" i="8" s="1"/>
  <c r="F12" i="14"/>
  <c r="P1" i="8" s="1"/>
  <c r="P63" i="8" s="1"/>
  <c r="J12" i="14"/>
  <c r="V1" i="8" s="1"/>
  <c r="L103" i="8"/>
  <c r="L163" i="8" s="1"/>
  <c r="K103" i="8"/>
  <c r="K163" i="8" s="1"/>
  <c r="J103" i="8"/>
  <c r="J163" i="8" s="1"/>
  <c r="P42" i="8"/>
  <c r="Q42" i="8"/>
  <c r="Q103" i="8" s="1"/>
  <c r="Q163" i="8" s="1"/>
  <c r="R42" i="8"/>
  <c r="R32" i="8"/>
  <c r="R93" i="8" s="1"/>
  <c r="R153" i="8" s="1"/>
  <c r="P32" i="8"/>
  <c r="V32" i="8" s="1"/>
  <c r="V93" i="8" s="1"/>
  <c r="V153" i="8" s="1"/>
  <c r="R31" i="8"/>
  <c r="X31" i="8" s="1"/>
  <c r="X92" i="8" s="1"/>
  <c r="X152" i="8" s="1"/>
  <c r="Q31" i="8"/>
  <c r="Q92" i="8" s="1"/>
  <c r="Q152" i="8" s="1"/>
  <c r="P31" i="8"/>
  <c r="P92" i="8" s="1"/>
  <c r="P152" i="8" s="1"/>
  <c r="R30" i="8"/>
  <c r="R91" i="8" s="1"/>
  <c r="R151" i="8" s="1"/>
  <c r="Q30" i="8"/>
  <c r="W30" i="8" s="1"/>
  <c r="W91" i="8" s="1"/>
  <c r="W151" i="8" s="1"/>
  <c r="P30" i="8"/>
  <c r="V30" i="8" s="1"/>
  <c r="V91" i="8" s="1"/>
  <c r="V151" i="8" s="1"/>
  <c r="R29" i="8"/>
  <c r="R90" i="8" s="1"/>
  <c r="R150" i="8" s="1"/>
  <c r="Q29" i="8"/>
  <c r="P29" i="8"/>
  <c r="V29" i="8" s="1"/>
  <c r="V90" i="8" s="1"/>
  <c r="V150" i="8" s="1"/>
  <c r="R28" i="8"/>
  <c r="R89" i="8" s="1"/>
  <c r="R149" i="8" s="1"/>
  <c r="Q28" i="8"/>
  <c r="W28" i="8" s="1"/>
  <c r="W89" i="8" s="1"/>
  <c r="W149" i="8" s="1"/>
  <c r="P28" i="8"/>
  <c r="V28" i="8" s="1"/>
  <c r="V89" i="8" s="1"/>
  <c r="V149" i="8" s="1"/>
  <c r="L93" i="8"/>
  <c r="L153" i="8" s="1"/>
  <c r="L92" i="8"/>
  <c r="L152" i="8" s="1"/>
  <c r="L91" i="8"/>
  <c r="L151" i="8" s="1"/>
  <c r="L89" i="8"/>
  <c r="L149" i="8" s="1"/>
  <c r="L144" i="8"/>
  <c r="L143" i="8"/>
  <c r="L142" i="8"/>
  <c r="L141" i="8"/>
  <c r="L140" i="8"/>
  <c r="L135" i="8"/>
  <c r="L130" i="8"/>
  <c r="J119" i="8"/>
  <c r="J179" i="8" s="1"/>
  <c r="K118" i="8"/>
  <c r="K178" i="8" s="1"/>
  <c r="J118" i="8"/>
  <c r="J178" i="8" s="1"/>
  <c r="K117" i="8"/>
  <c r="K177" i="8" s="1"/>
  <c r="J117" i="8"/>
  <c r="J177" i="8" s="1"/>
  <c r="K116" i="8"/>
  <c r="K176" i="8" s="1"/>
  <c r="J116" i="8"/>
  <c r="J176" i="8" s="1"/>
  <c r="K115" i="8"/>
  <c r="K175" i="8" s="1"/>
  <c r="J115" i="8"/>
  <c r="J175" i="8" s="1"/>
  <c r="L98" i="8"/>
  <c r="L158" i="8" s="1"/>
  <c r="J98" i="8"/>
  <c r="J158" i="8" s="1"/>
  <c r="K83" i="8"/>
  <c r="K143" i="8" s="1"/>
  <c r="K82" i="8"/>
  <c r="K142" i="8" s="1"/>
  <c r="K81" i="8"/>
  <c r="K141" i="8" s="1"/>
  <c r="K80" i="8"/>
  <c r="K140" i="8" s="1"/>
  <c r="J80" i="8"/>
  <c r="J140" i="8" s="1"/>
  <c r="J75" i="8"/>
  <c r="J135" i="8" s="1"/>
  <c r="J70" i="8"/>
  <c r="J130" i="8" s="1"/>
  <c r="Z168" i="8"/>
  <c r="Y168" i="8"/>
  <c r="Z110" i="8"/>
  <c r="Y110" i="8"/>
  <c r="Z109" i="8"/>
  <c r="Z170" i="8" s="1"/>
  <c r="Y109" i="8"/>
  <c r="Y170" i="8" s="1"/>
  <c r="Z108" i="8"/>
  <c r="Z169" i="8" s="1"/>
  <c r="Y108" i="8"/>
  <c r="Y169" i="8" s="1"/>
  <c r="T48" i="8"/>
  <c r="T109" i="8" s="1"/>
  <c r="T170" i="8" s="1"/>
  <c r="S48" i="8"/>
  <c r="S109" i="8" s="1"/>
  <c r="S170" i="8" s="1"/>
  <c r="T47" i="8"/>
  <c r="T108" i="8" s="1"/>
  <c r="T169" i="8" s="1"/>
  <c r="S47" i="8"/>
  <c r="S108" i="8" s="1"/>
  <c r="S169" i="8" s="1"/>
  <c r="T168" i="8"/>
  <c r="S168" i="8"/>
  <c r="T49" i="8"/>
  <c r="T110" i="8" s="1"/>
  <c r="S49" i="8"/>
  <c r="S110" i="8" s="1"/>
  <c r="N109" i="8"/>
  <c r="N170" i="8" s="1"/>
  <c r="M109" i="8"/>
  <c r="M170" i="8" s="1"/>
  <c r="N108" i="8"/>
  <c r="N169" i="8" s="1"/>
  <c r="M108" i="8"/>
  <c r="M169" i="8" s="1"/>
  <c r="N168" i="8"/>
  <c r="M168" i="8"/>
  <c r="N110" i="8"/>
  <c r="M110" i="8"/>
  <c r="T57" i="8"/>
  <c r="S57" i="8"/>
  <c r="Y57" i="8" s="1"/>
  <c r="Y118" i="8" s="1"/>
  <c r="Y179" i="8" s="1"/>
  <c r="S56" i="8"/>
  <c r="Y56" i="8" s="1"/>
  <c r="Y117" i="8" s="1"/>
  <c r="Y178" i="8" s="1"/>
  <c r="T55" i="8"/>
  <c r="Z55" i="8" s="1"/>
  <c r="Z116" i="8" s="1"/>
  <c r="Z177" i="8" s="1"/>
  <c r="S55" i="8"/>
  <c r="T54" i="8"/>
  <c r="Z54" i="8" s="1"/>
  <c r="Z115" i="8" s="1"/>
  <c r="Z176" i="8" s="1"/>
  <c r="Z175" i="8"/>
  <c r="Y175" i="8"/>
  <c r="T175" i="8"/>
  <c r="S175" i="8"/>
  <c r="N118" i="8"/>
  <c r="N179" i="8" s="1"/>
  <c r="M118" i="8"/>
  <c r="M179" i="8" s="1"/>
  <c r="M117" i="8"/>
  <c r="M178" i="8" s="1"/>
  <c r="N116" i="8"/>
  <c r="N177" i="8" s="1"/>
  <c r="M116" i="8"/>
  <c r="M177" i="8" s="1"/>
  <c r="N115" i="8"/>
  <c r="N176" i="8" s="1"/>
  <c r="N175" i="8"/>
  <c r="M175" i="8"/>
  <c r="S58" i="8"/>
  <c r="S119" i="8" s="1"/>
  <c r="N119" i="8"/>
  <c r="M119" i="8"/>
  <c r="N117" i="8"/>
  <c r="N178" i="8" s="1"/>
  <c r="M115" i="8"/>
  <c r="M176" i="8" s="1"/>
  <c r="T58" i="8"/>
  <c r="T56" i="8"/>
  <c r="Z56" i="8" s="1"/>
  <c r="Z117" i="8" s="1"/>
  <c r="Z178" i="8" s="1"/>
  <c r="S54" i="8"/>
  <c r="Y54" i="8" s="1"/>
  <c r="Y115" i="8" s="1"/>
  <c r="Y176" i="8" s="1"/>
  <c r="P58" i="8"/>
  <c r="P119" i="8" s="1"/>
  <c r="P54" i="8"/>
  <c r="Q54" i="8"/>
  <c r="P57" i="8"/>
  <c r="Q57" i="8"/>
  <c r="Q118" i="8" s="1"/>
  <c r="Q178" i="8" s="1"/>
  <c r="P56" i="8"/>
  <c r="Q56" i="8"/>
  <c r="Q117" i="8" s="1"/>
  <c r="Q177" i="8" s="1"/>
  <c r="P55" i="8"/>
  <c r="P116" i="8" s="1"/>
  <c r="Q55" i="8"/>
  <c r="Q116" i="8" s="1"/>
  <c r="Q176" i="8" s="1"/>
  <c r="R37" i="8"/>
  <c r="E18" i="1"/>
  <c r="E17" i="1" s="1"/>
  <c r="E23" i="1"/>
  <c r="E28" i="1"/>
  <c r="F18" i="1"/>
  <c r="F17" i="1" s="1"/>
  <c r="F23" i="1"/>
  <c r="F22" i="1" s="1"/>
  <c r="F28" i="1"/>
  <c r="F27" i="1" s="1"/>
  <c r="G18" i="1"/>
  <c r="G17" i="1" s="1"/>
  <c r="G23" i="1"/>
  <c r="G22" i="1" s="1"/>
  <c r="G28" i="1"/>
  <c r="G27" i="1" s="1"/>
  <c r="H18" i="1"/>
  <c r="H17" i="1" s="1"/>
  <c r="H23" i="1"/>
  <c r="H28" i="1"/>
  <c r="H27" i="1" s="1"/>
  <c r="I18" i="1"/>
  <c r="I17" i="1" s="1"/>
  <c r="I23" i="1"/>
  <c r="I22" i="1" s="1"/>
  <c r="I28" i="1"/>
  <c r="I27" i="1" s="1"/>
  <c r="J18" i="1"/>
  <c r="J23" i="1"/>
  <c r="J22" i="1" s="1"/>
  <c r="J28" i="1"/>
  <c r="J27" i="1" s="1"/>
  <c r="K18" i="1"/>
  <c r="K17" i="1" s="1"/>
  <c r="K23" i="1"/>
  <c r="K22" i="1" s="1"/>
  <c r="K28" i="1"/>
  <c r="K27" i="1" s="1"/>
  <c r="L18" i="1"/>
  <c r="L17" i="1" s="1"/>
  <c r="L23" i="1"/>
  <c r="L22" i="1" s="1"/>
  <c r="L28" i="1"/>
  <c r="L27" i="1" s="1"/>
  <c r="M18" i="1"/>
  <c r="M17" i="1" s="1"/>
  <c r="M23" i="1"/>
  <c r="M22" i="1" s="1"/>
  <c r="M28" i="1"/>
  <c r="M27" i="1" s="1"/>
  <c r="N18" i="1"/>
  <c r="N17" i="1" s="1"/>
  <c r="N23" i="1"/>
  <c r="N22" i="1" s="1"/>
  <c r="N28" i="1"/>
  <c r="N27" i="1" s="1"/>
  <c r="O18" i="1"/>
  <c r="O17" i="1" s="1"/>
  <c r="O23" i="1"/>
  <c r="O28" i="1"/>
  <c r="O27" i="1" s="1"/>
  <c r="P18" i="1"/>
  <c r="P23" i="1"/>
  <c r="P22" i="1" s="1"/>
  <c r="P28" i="1"/>
  <c r="P27" i="1" s="1"/>
  <c r="Q15" i="1"/>
  <c r="F33" i="2" s="1"/>
  <c r="Q14" i="2"/>
  <c r="Q15" i="2" s="1"/>
  <c r="Q20" i="1"/>
  <c r="F34" i="2" s="1"/>
  <c r="Q19" i="2"/>
  <c r="Q20" i="2" s="1"/>
  <c r="Q25" i="1"/>
  <c r="F35" i="2" s="1"/>
  <c r="Q24" i="2"/>
  <c r="Q28" i="5"/>
  <c r="F15" i="6" s="1"/>
  <c r="Q29" i="5"/>
  <c r="F16" i="6" s="1"/>
  <c r="Q30" i="5"/>
  <c r="F17" i="6" s="1"/>
  <c r="Q31" i="5"/>
  <c r="F18" i="6" s="1"/>
  <c r="Q32" i="5"/>
  <c r="B14" i="9"/>
  <c r="B23" i="9" s="1"/>
  <c r="B32" i="9" s="1"/>
  <c r="F67" i="6"/>
  <c r="G67" i="6" s="1"/>
  <c r="H67" i="6" s="1"/>
  <c r="H59" i="6"/>
  <c r="H62" i="6"/>
  <c r="H64" i="6"/>
  <c r="G15" i="3"/>
  <c r="G65" i="6" s="1"/>
  <c r="H74" i="6" s="1"/>
  <c r="C10" i="9"/>
  <c r="C6" i="9"/>
  <c r="C7" i="9" s="1"/>
  <c r="Q37" i="5"/>
  <c r="P37" i="8"/>
  <c r="P98" i="8" s="1"/>
  <c r="P158" i="8" s="1"/>
  <c r="R23" i="8"/>
  <c r="R84" i="8" s="1"/>
  <c r="R144" i="8" s="1"/>
  <c r="J84" i="8"/>
  <c r="J144" i="8" s="1"/>
  <c r="R22" i="8"/>
  <c r="Q22" i="8"/>
  <c r="Q83" i="8" s="1"/>
  <c r="Q143" i="8" s="1"/>
  <c r="R21" i="8"/>
  <c r="R82" i="8" s="1"/>
  <c r="R142" i="8" s="1"/>
  <c r="Q21" i="8"/>
  <c r="Q82" i="8" s="1"/>
  <c r="Q142" i="8" s="1"/>
  <c r="J82" i="8"/>
  <c r="J142" i="8" s="1"/>
  <c r="R20" i="8"/>
  <c r="R81" i="8" s="1"/>
  <c r="R141" i="8" s="1"/>
  <c r="Q20" i="8"/>
  <c r="J81" i="8"/>
  <c r="J141" i="8" s="1"/>
  <c r="R19" i="8"/>
  <c r="R80" i="8" s="1"/>
  <c r="R140" i="8" s="1"/>
  <c r="Q19" i="8"/>
  <c r="Q80" i="8" s="1"/>
  <c r="Q140" i="8" s="1"/>
  <c r="P19" i="8"/>
  <c r="P80" i="8" s="1"/>
  <c r="P140" i="8" s="1"/>
  <c r="R14" i="8"/>
  <c r="R75" i="8" s="1"/>
  <c r="R135" i="8" s="1"/>
  <c r="P14" i="8"/>
  <c r="P75" i="8" s="1"/>
  <c r="P135" i="8" s="1"/>
  <c r="R9" i="8"/>
  <c r="R70" i="8" s="1"/>
  <c r="R130" i="8" s="1"/>
  <c r="P9" i="8"/>
  <c r="P70" i="8" s="1"/>
  <c r="P130" i="8" s="1"/>
  <c r="P67" i="8"/>
  <c r="P72" i="8"/>
  <c r="P77" i="8"/>
  <c r="P86" i="8"/>
  <c r="P95" i="8"/>
  <c r="P100" i="8"/>
  <c r="P105" i="8"/>
  <c r="P112" i="8"/>
  <c r="P127" i="8"/>
  <c r="P132" i="8"/>
  <c r="P137" i="8"/>
  <c r="P146" i="8"/>
  <c r="P155" i="8"/>
  <c r="P160" i="8"/>
  <c r="P165" i="8"/>
  <c r="P172" i="8"/>
  <c r="V172" i="8"/>
  <c r="V165" i="8"/>
  <c r="V160" i="8"/>
  <c r="V155" i="8"/>
  <c r="V146" i="8"/>
  <c r="V137" i="8"/>
  <c r="V132" i="8"/>
  <c r="V127" i="8"/>
  <c r="V112" i="8"/>
  <c r="V105" i="8"/>
  <c r="V100" i="8"/>
  <c r="V95" i="8"/>
  <c r="V86" i="8"/>
  <c r="V77" i="8"/>
  <c r="V72" i="8"/>
  <c r="V67" i="8"/>
  <c r="V51" i="8"/>
  <c r="V44" i="8"/>
  <c r="V39" i="8"/>
  <c r="V34" i="8"/>
  <c r="V25" i="8"/>
  <c r="V16" i="8"/>
  <c r="V11" i="8"/>
  <c r="V6" i="8"/>
  <c r="P51" i="8"/>
  <c r="P44" i="8"/>
  <c r="P39" i="8"/>
  <c r="P34" i="8"/>
  <c r="P25" i="8"/>
  <c r="P16" i="8"/>
  <c r="P11" i="8"/>
  <c r="P6" i="8"/>
  <c r="C68" i="6"/>
  <c r="C59" i="6"/>
  <c r="C10" i="5"/>
  <c r="E17" i="2"/>
  <c r="E22" i="2"/>
  <c r="E21" i="2" s="1"/>
  <c r="E27" i="2"/>
  <c r="F17" i="2"/>
  <c r="F16" i="2" s="1"/>
  <c r="F22" i="2"/>
  <c r="F21" i="2" s="1"/>
  <c r="F27" i="2"/>
  <c r="F26" i="2" s="1"/>
  <c r="G17" i="2"/>
  <c r="G16" i="2" s="1"/>
  <c r="G22" i="2"/>
  <c r="G27" i="2"/>
  <c r="G26" i="2" s="1"/>
  <c r="F106" i="14"/>
  <c r="J105" i="14"/>
  <c r="F105" i="14"/>
  <c r="J102" i="14"/>
  <c r="J103" i="14"/>
  <c r="J104" i="14"/>
  <c r="J106" i="14"/>
  <c r="J101" i="14"/>
  <c r="F104" i="14"/>
  <c r="F103" i="14"/>
  <c r="F102" i="14"/>
  <c r="F101" i="14"/>
  <c r="G18" i="3"/>
  <c r="G19" i="3"/>
  <c r="G20" i="3"/>
  <c r="G21" i="3"/>
  <c r="D19" i="4" s="1"/>
  <c r="G22" i="3"/>
  <c r="D20" i="4" s="1"/>
  <c r="G24" i="3"/>
  <c r="C8" i="4"/>
  <c r="D26" i="3"/>
  <c r="E30" i="3" s="1"/>
  <c r="E26" i="3"/>
  <c r="E32" i="3" s="1"/>
  <c r="H17" i="4" s="1"/>
  <c r="D33" i="14"/>
  <c r="D34" i="14"/>
  <c r="D35" i="14"/>
  <c r="D36" i="14"/>
  <c r="D37" i="14"/>
  <c r="D38" i="14"/>
  <c r="D42" i="14"/>
  <c r="D43" i="14"/>
  <c r="D44" i="14"/>
  <c r="D45" i="14"/>
  <c r="D46" i="14"/>
  <c r="D47" i="14"/>
  <c r="D48" i="14"/>
  <c r="D52" i="14"/>
  <c r="D53" i="14"/>
  <c r="D54" i="14"/>
  <c r="D55" i="14"/>
  <c r="D56" i="14"/>
  <c r="D57" i="14"/>
  <c r="D58" i="14"/>
  <c r="D62" i="14"/>
  <c r="D63" i="14"/>
  <c r="D64" i="14"/>
  <c r="D65" i="14"/>
  <c r="D69" i="14"/>
  <c r="D70" i="14"/>
  <c r="D71" i="14"/>
  <c r="D72" i="14"/>
  <c r="D73" i="14"/>
  <c r="D77" i="14"/>
  <c r="D78" i="14" s="1"/>
  <c r="D84" i="14"/>
  <c r="D85" i="14"/>
  <c r="D86" i="14"/>
  <c r="D87" i="14"/>
  <c r="D88" i="14"/>
  <c r="P78" i="1"/>
  <c r="P77" i="1" s="1"/>
  <c r="P83" i="1"/>
  <c r="P82" i="1" s="1"/>
  <c r="P88" i="1"/>
  <c r="P87" i="1" s="1"/>
  <c r="E78" i="1"/>
  <c r="E77" i="1" s="1"/>
  <c r="E83" i="1"/>
  <c r="E88" i="1"/>
  <c r="E87" i="1" s="1"/>
  <c r="F78" i="1"/>
  <c r="F83" i="1"/>
  <c r="F82" i="1" s="1"/>
  <c r="F88" i="1"/>
  <c r="G78" i="1"/>
  <c r="G83" i="1"/>
  <c r="G88" i="1"/>
  <c r="G87" i="1" s="1"/>
  <c r="H78" i="1"/>
  <c r="H77" i="1" s="1"/>
  <c r="H83" i="1"/>
  <c r="H88" i="1"/>
  <c r="I78" i="1"/>
  <c r="I77" i="1" s="1"/>
  <c r="I83" i="1"/>
  <c r="I82" i="1" s="1"/>
  <c r="I88" i="1"/>
  <c r="I87" i="1" s="1"/>
  <c r="J78" i="1"/>
  <c r="J83" i="1"/>
  <c r="J82" i="1" s="1"/>
  <c r="J88" i="1"/>
  <c r="J87" i="1" s="1"/>
  <c r="K78" i="1"/>
  <c r="K83" i="1"/>
  <c r="K82" i="1" s="1"/>
  <c r="K88" i="1"/>
  <c r="K87" i="1" s="1"/>
  <c r="L78" i="1"/>
  <c r="L77" i="1" s="1"/>
  <c r="L83" i="1"/>
  <c r="L82" i="1" s="1"/>
  <c r="L88" i="1"/>
  <c r="L87" i="1" s="1"/>
  <c r="M78" i="1"/>
  <c r="M77" i="1" s="1"/>
  <c r="M83" i="1"/>
  <c r="M82" i="1" s="1"/>
  <c r="M88" i="1"/>
  <c r="N78" i="1"/>
  <c r="N83" i="1"/>
  <c r="N88" i="1"/>
  <c r="O78" i="1"/>
  <c r="O77" i="1" s="1"/>
  <c r="O83" i="1"/>
  <c r="O88" i="1"/>
  <c r="O87" i="1" s="1"/>
  <c r="Q75" i="1"/>
  <c r="F103" i="2" s="1"/>
  <c r="Q84" i="2"/>
  <c r="Q85" i="2" s="1"/>
  <c r="Q80" i="1"/>
  <c r="F104" i="2" s="1"/>
  <c r="Q89" i="2"/>
  <c r="Q85" i="1"/>
  <c r="F105" i="2" s="1"/>
  <c r="Q94" i="2"/>
  <c r="Q95" i="2" s="1"/>
  <c r="P48" i="1"/>
  <c r="P53" i="1"/>
  <c r="P52" i="1" s="1"/>
  <c r="P58" i="1"/>
  <c r="P57" i="1" s="1"/>
  <c r="E48" i="1"/>
  <c r="E53" i="1"/>
  <c r="E52" i="1" s="1"/>
  <c r="E58" i="1"/>
  <c r="F48" i="1"/>
  <c r="F53" i="1"/>
  <c r="F52" i="1" s="1"/>
  <c r="F58" i="1"/>
  <c r="G48" i="1"/>
  <c r="G47" i="1" s="1"/>
  <c r="G53" i="1"/>
  <c r="G52" i="1" s="1"/>
  <c r="G58" i="1"/>
  <c r="G57" i="1" s="1"/>
  <c r="H48" i="1"/>
  <c r="H47" i="1" s="1"/>
  <c r="H53" i="1"/>
  <c r="H58" i="1"/>
  <c r="H57" i="1" s="1"/>
  <c r="I48" i="1"/>
  <c r="I53" i="1"/>
  <c r="I58" i="1"/>
  <c r="I57" i="1" s="1"/>
  <c r="J48" i="1"/>
  <c r="J53" i="1"/>
  <c r="J52" i="1" s="1"/>
  <c r="J58" i="1"/>
  <c r="J57" i="1" s="1"/>
  <c r="K48" i="1"/>
  <c r="K47" i="1" s="1"/>
  <c r="K53" i="1"/>
  <c r="K58" i="1"/>
  <c r="L48" i="1"/>
  <c r="L53" i="1"/>
  <c r="L52" i="1" s="1"/>
  <c r="L58" i="1"/>
  <c r="L57" i="1" s="1"/>
  <c r="M48" i="1"/>
  <c r="M53" i="1"/>
  <c r="M52" i="1" s="1"/>
  <c r="M58" i="1"/>
  <c r="N48" i="1"/>
  <c r="N47" i="1" s="1"/>
  <c r="N53" i="1"/>
  <c r="N58" i="1"/>
  <c r="N57" i="1" s="1"/>
  <c r="O48" i="1"/>
  <c r="O47" i="1" s="1"/>
  <c r="O53" i="1"/>
  <c r="O52" i="1" s="1"/>
  <c r="O58" i="1"/>
  <c r="O57" i="1" s="1"/>
  <c r="Q45" i="1"/>
  <c r="F68" i="2" s="1"/>
  <c r="Q49" i="2"/>
  <c r="Q50" i="1"/>
  <c r="F69" i="2" s="1"/>
  <c r="Q54" i="2"/>
  <c r="Q55" i="2" s="1"/>
  <c r="Q55" i="1"/>
  <c r="F70" i="2" s="1"/>
  <c r="Q59" i="2"/>
  <c r="Q60" i="2" s="1"/>
  <c r="Y140" i="8"/>
  <c r="Y141" i="8"/>
  <c r="Y142" i="8"/>
  <c r="Y143" i="8"/>
  <c r="Y144" i="8"/>
  <c r="S140" i="8"/>
  <c r="S141" i="8"/>
  <c r="S142" i="8"/>
  <c r="S143" i="8"/>
  <c r="S144" i="8"/>
  <c r="M141" i="8"/>
  <c r="G124" i="8"/>
  <c r="Y80" i="8"/>
  <c r="Y81" i="8"/>
  <c r="Y82" i="8"/>
  <c r="Y83" i="8"/>
  <c r="Y84" i="8"/>
  <c r="S80" i="8"/>
  <c r="S81" i="8"/>
  <c r="S82" i="8"/>
  <c r="S83" i="8"/>
  <c r="S84" i="8"/>
  <c r="M81" i="8"/>
  <c r="G64" i="8"/>
  <c r="M20" i="8"/>
  <c r="Y19" i="8"/>
  <c r="Y20" i="8"/>
  <c r="Y21" i="8"/>
  <c r="Y22" i="8"/>
  <c r="Y23" i="8"/>
  <c r="S19" i="8"/>
  <c r="S20" i="8"/>
  <c r="S21" i="8"/>
  <c r="S22" i="8"/>
  <c r="S23" i="8"/>
  <c r="H33" i="14"/>
  <c r="H34" i="14"/>
  <c r="H35" i="14"/>
  <c r="H36" i="14"/>
  <c r="H37" i="14"/>
  <c r="H38" i="14"/>
  <c r="H42" i="14"/>
  <c r="H43" i="14"/>
  <c r="H44" i="14"/>
  <c r="H45" i="14"/>
  <c r="H46" i="14"/>
  <c r="H47" i="14"/>
  <c r="H48" i="14"/>
  <c r="H52" i="14"/>
  <c r="H53" i="14"/>
  <c r="H54" i="14"/>
  <c r="H55" i="14"/>
  <c r="H56" i="14"/>
  <c r="H57" i="14"/>
  <c r="H58" i="14"/>
  <c r="H62" i="14"/>
  <c r="H63" i="14"/>
  <c r="H64" i="14"/>
  <c r="H65" i="14"/>
  <c r="H69" i="14"/>
  <c r="H70" i="14"/>
  <c r="H71" i="14"/>
  <c r="H72" i="14"/>
  <c r="H73" i="14"/>
  <c r="H77" i="14"/>
  <c r="H78" i="14" s="1"/>
  <c r="H84" i="14"/>
  <c r="H85" i="14"/>
  <c r="H86" i="14"/>
  <c r="H87" i="14"/>
  <c r="H88" i="14"/>
  <c r="L33" i="14"/>
  <c r="L34" i="14"/>
  <c r="L35" i="14"/>
  <c r="L36" i="14"/>
  <c r="L37" i="14"/>
  <c r="L38" i="14"/>
  <c r="L42" i="14"/>
  <c r="L43" i="14"/>
  <c r="L44" i="14"/>
  <c r="L45" i="14"/>
  <c r="L46" i="14"/>
  <c r="L47" i="14"/>
  <c r="L48" i="14"/>
  <c r="L52" i="14"/>
  <c r="L53" i="14"/>
  <c r="L54" i="14"/>
  <c r="L55" i="14"/>
  <c r="L56" i="14"/>
  <c r="L57" i="14"/>
  <c r="L58" i="14"/>
  <c r="L62" i="14"/>
  <c r="L63" i="14"/>
  <c r="L64" i="14"/>
  <c r="L65" i="14"/>
  <c r="L69" i="14"/>
  <c r="L70" i="14"/>
  <c r="L71" i="14"/>
  <c r="L72" i="14"/>
  <c r="L73" i="14"/>
  <c r="L77" i="14"/>
  <c r="L78" i="14" s="1"/>
  <c r="L84" i="14"/>
  <c r="L85" i="14"/>
  <c r="L86" i="14"/>
  <c r="L87" i="14"/>
  <c r="L88" i="14"/>
  <c r="M80" i="8"/>
  <c r="M82" i="8"/>
  <c r="M83" i="8"/>
  <c r="M84" i="8"/>
  <c r="B38" i="8"/>
  <c r="B37" i="8"/>
  <c r="C38" i="8"/>
  <c r="C37" i="8"/>
  <c r="D38" i="8"/>
  <c r="D37" i="8"/>
  <c r="E37" i="8"/>
  <c r="M140" i="8"/>
  <c r="M142" i="8"/>
  <c r="M143" i="8"/>
  <c r="M144" i="8"/>
  <c r="B58" i="8"/>
  <c r="B57" i="8"/>
  <c r="C58" i="8"/>
  <c r="C57" i="8"/>
  <c r="D58" i="8"/>
  <c r="D57" i="8"/>
  <c r="E57" i="8"/>
  <c r="M19" i="8"/>
  <c r="M21" i="8"/>
  <c r="M22" i="8"/>
  <c r="M23" i="8"/>
  <c r="H61" i="6"/>
  <c r="H63" i="6"/>
  <c r="B18" i="8"/>
  <c r="B17" i="8"/>
  <c r="C18" i="8"/>
  <c r="C17" i="8"/>
  <c r="D18" i="8"/>
  <c r="D17" i="8"/>
  <c r="E17" i="8"/>
  <c r="Q100" i="5"/>
  <c r="H15" i="6" s="1"/>
  <c r="Q101" i="5"/>
  <c r="H16" i="6" s="1"/>
  <c r="Q102" i="5"/>
  <c r="H17" i="6" s="1"/>
  <c r="Q103" i="5"/>
  <c r="H18" i="6" s="1"/>
  <c r="Q66" i="5"/>
  <c r="G15" i="6" s="1"/>
  <c r="Q67" i="5"/>
  <c r="G16" i="6" s="1"/>
  <c r="Q68" i="5"/>
  <c r="G17" i="6" s="1"/>
  <c r="Q69" i="5"/>
  <c r="G18" i="6" s="1"/>
  <c r="F8" i="6"/>
  <c r="A10" i="8" s="1"/>
  <c r="G1" i="8" s="1"/>
  <c r="B11" i="8"/>
  <c r="E9" i="14"/>
  <c r="C30" i="6"/>
  <c r="C14" i="6"/>
  <c r="Q70" i="5"/>
  <c r="Q104" i="5"/>
  <c r="H17" i="2"/>
  <c r="H16" i="2" s="1"/>
  <c r="I17" i="2"/>
  <c r="I16" i="2" s="1"/>
  <c r="J17" i="2"/>
  <c r="K17" i="2"/>
  <c r="L17" i="2"/>
  <c r="L16" i="2" s="1"/>
  <c r="M17" i="2"/>
  <c r="N17" i="2"/>
  <c r="O17" i="2"/>
  <c r="O16" i="2" s="1"/>
  <c r="P17" i="2"/>
  <c r="P16" i="2" s="1"/>
  <c r="H22" i="2"/>
  <c r="I22" i="2"/>
  <c r="I21" i="2" s="1"/>
  <c r="J22" i="2"/>
  <c r="J21" i="2" s="1"/>
  <c r="K22" i="2"/>
  <c r="K21" i="2" s="1"/>
  <c r="L22" i="2"/>
  <c r="M22" i="2"/>
  <c r="M21" i="2" s="1"/>
  <c r="N22" i="2"/>
  <c r="N21" i="2" s="1"/>
  <c r="O22" i="2"/>
  <c r="O21" i="2" s="1"/>
  <c r="P22" i="2"/>
  <c r="H27" i="2"/>
  <c r="H26" i="2" s="1"/>
  <c r="I27" i="2"/>
  <c r="I26" i="2" s="1"/>
  <c r="J27" i="2"/>
  <c r="J26" i="2" s="1"/>
  <c r="K27" i="2"/>
  <c r="K26" i="2" s="1"/>
  <c r="L27" i="2"/>
  <c r="L26" i="2" s="1"/>
  <c r="M27" i="2"/>
  <c r="M26" i="2" s="1"/>
  <c r="N27" i="2"/>
  <c r="N26" i="2" s="1"/>
  <c r="O27" i="2"/>
  <c r="O26" i="2" s="1"/>
  <c r="P27" i="2"/>
  <c r="P26" i="2" s="1"/>
  <c r="E52" i="2"/>
  <c r="E57" i="2"/>
  <c r="E62" i="2"/>
  <c r="F52" i="2"/>
  <c r="F57" i="2"/>
  <c r="F56" i="2" s="1"/>
  <c r="F62" i="2"/>
  <c r="F61" i="2" s="1"/>
  <c r="G52" i="2"/>
  <c r="G51" i="2" s="1"/>
  <c r="G57" i="2"/>
  <c r="G56" i="2" s="1"/>
  <c r="G62" i="2"/>
  <c r="G61" i="2" s="1"/>
  <c r="H52" i="2"/>
  <c r="H57" i="2"/>
  <c r="H56" i="2" s="1"/>
  <c r="H62" i="2"/>
  <c r="H61" i="2" s="1"/>
  <c r="I52" i="2"/>
  <c r="I57" i="2"/>
  <c r="I56" i="2" s="1"/>
  <c r="I62" i="2"/>
  <c r="I61" i="2" s="1"/>
  <c r="J52" i="2"/>
  <c r="J57" i="2"/>
  <c r="J56" i="2" s="1"/>
  <c r="J62" i="2"/>
  <c r="J61" i="2" s="1"/>
  <c r="K52" i="2"/>
  <c r="K51" i="2" s="1"/>
  <c r="K57" i="2"/>
  <c r="K56" i="2" s="1"/>
  <c r="K62" i="2"/>
  <c r="L52" i="2"/>
  <c r="L57" i="2"/>
  <c r="L56" i="2" s="1"/>
  <c r="L62" i="2"/>
  <c r="L61" i="2" s="1"/>
  <c r="M52" i="2"/>
  <c r="M57" i="2"/>
  <c r="M56" i="2" s="1"/>
  <c r="M62" i="2"/>
  <c r="M61" i="2" s="1"/>
  <c r="N52" i="2"/>
  <c r="N57" i="2"/>
  <c r="N56" i="2" s="1"/>
  <c r="N62" i="2"/>
  <c r="N61" i="2" s="1"/>
  <c r="O52" i="2"/>
  <c r="O51" i="2" s="1"/>
  <c r="O57" i="2"/>
  <c r="O56" i="2" s="1"/>
  <c r="O62" i="2"/>
  <c r="O61" i="2" s="1"/>
  <c r="P52" i="2"/>
  <c r="P57" i="2"/>
  <c r="P56" i="2" s="1"/>
  <c r="P62" i="2"/>
  <c r="P61" i="2" s="1"/>
  <c r="G4" i="9"/>
  <c r="F4" i="9"/>
  <c r="J17" i="1"/>
  <c r="O22" i="1"/>
  <c r="E57" i="1"/>
  <c r="F47" i="1"/>
  <c r="F57" i="1"/>
  <c r="I47" i="1"/>
  <c r="I52" i="1"/>
  <c r="K52" i="1"/>
  <c r="K57" i="1"/>
  <c r="L47" i="1"/>
  <c r="M57" i="1"/>
  <c r="N52" i="1"/>
  <c r="P47" i="1"/>
  <c r="C112" i="5"/>
  <c r="C78" i="5"/>
  <c r="C40" i="5"/>
  <c r="C10" i="14"/>
  <c r="C12" i="2"/>
  <c r="H20" i="3"/>
  <c r="H19" i="3"/>
  <c r="Q109" i="5"/>
  <c r="Q75" i="5"/>
  <c r="L114" i="14"/>
  <c r="H114" i="14"/>
  <c r="H65" i="6"/>
  <c r="H60" i="6"/>
  <c r="E87" i="2"/>
  <c r="E86" i="2" s="1"/>
  <c r="E92" i="2"/>
  <c r="E91" i="2" s="1"/>
  <c r="E97" i="2"/>
  <c r="E96" i="2" s="1"/>
  <c r="G87" i="2"/>
  <c r="G92" i="2"/>
  <c r="G91" i="2" s="1"/>
  <c r="G97" i="2"/>
  <c r="G96" i="2" s="1"/>
  <c r="F87" i="2"/>
  <c r="F92" i="2"/>
  <c r="F91" i="2" s="1"/>
  <c r="F97" i="2"/>
  <c r="F96" i="2" s="1"/>
  <c r="H87" i="2"/>
  <c r="H86" i="2" s="1"/>
  <c r="H92" i="2"/>
  <c r="H91" i="2" s="1"/>
  <c r="H97" i="2"/>
  <c r="H96" i="2" s="1"/>
  <c r="G82" i="1"/>
  <c r="F87" i="1"/>
  <c r="H105" i="5"/>
  <c r="G105" i="5"/>
  <c r="P105" i="5"/>
  <c r="O105" i="5"/>
  <c r="N105" i="5"/>
  <c r="M105" i="5"/>
  <c r="L105" i="5"/>
  <c r="K105" i="5"/>
  <c r="J105" i="5"/>
  <c r="I105" i="5"/>
  <c r="F105" i="5"/>
  <c r="H82" i="1"/>
  <c r="I87" i="2"/>
  <c r="I92" i="2"/>
  <c r="I91" i="2" s="1"/>
  <c r="I97" i="2"/>
  <c r="J87" i="2"/>
  <c r="J86" i="2" s="1"/>
  <c r="J92" i="2"/>
  <c r="J91" i="2" s="1"/>
  <c r="J97" i="2"/>
  <c r="J96" i="2" s="1"/>
  <c r="K77" i="1"/>
  <c r="M87" i="1"/>
  <c r="K87" i="2"/>
  <c r="K86" i="2" s="1"/>
  <c r="K92" i="2"/>
  <c r="K91" i="2" s="1"/>
  <c r="K97" i="2"/>
  <c r="K96" i="2" s="1"/>
  <c r="L87" i="2"/>
  <c r="L86" i="2" s="1"/>
  <c r="L92" i="2"/>
  <c r="L97" i="2"/>
  <c r="L96" i="2" s="1"/>
  <c r="M87" i="2"/>
  <c r="M86" i="2" s="1"/>
  <c r="M92" i="2"/>
  <c r="M91" i="2" s="1"/>
  <c r="M97" i="2"/>
  <c r="M96" i="2" s="1"/>
  <c r="H11" i="2"/>
  <c r="H18" i="3"/>
  <c r="C65" i="6"/>
  <c r="C64" i="6"/>
  <c r="C63" i="6"/>
  <c r="C62" i="6"/>
  <c r="C61" i="6"/>
  <c r="C60" i="6"/>
  <c r="C74" i="6"/>
  <c r="C73" i="6"/>
  <c r="C72" i="6"/>
  <c r="C71" i="6"/>
  <c r="C70" i="6"/>
  <c r="C69" i="6"/>
  <c r="D62" i="5"/>
  <c r="D97" i="5" s="1"/>
  <c r="C57" i="5"/>
  <c r="C92" i="5" s="1"/>
  <c r="O82" i="1"/>
  <c r="N82" i="1"/>
  <c r="N87" i="1"/>
  <c r="C58" i="5"/>
  <c r="C93" i="5" s="1"/>
  <c r="C53" i="5"/>
  <c r="C54" i="5"/>
  <c r="C55" i="5"/>
  <c r="C56" i="5"/>
  <c r="C64" i="5"/>
  <c r="C98" i="5" s="1"/>
  <c r="C65" i="5"/>
  <c r="C99" i="5" s="1"/>
  <c r="C66" i="5"/>
  <c r="C100" i="5" s="1"/>
  <c r="C67" i="5"/>
  <c r="C101" i="5" s="1"/>
  <c r="C68" i="5"/>
  <c r="C102" i="5" s="1"/>
  <c r="D68" i="5"/>
  <c r="D102" i="5" s="1"/>
  <c r="C69" i="5"/>
  <c r="C103" i="5" s="1"/>
  <c r="D69" i="5"/>
  <c r="D103" i="5" s="1"/>
  <c r="C70" i="5"/>
  <c r="C104" i="5" s="1"/>
  <c r="D70" i="5"/>
  <c r="D104" i="5" s="1"/>
  <c r="C71" i="5"/>
  <c r="C105" i="5" s="1"/>
  <c r="C72" i="5"/>
  <c r="C106" i="5" s="1"/>
  <c r="C73" i="5"/>
  <c r="C107" i="5" s="1"/>
  <c r="C74" i="5"/>
  <c r="C108" i="5" s="1"/>
  <c r="C75" i="5"/>
  <c r="C109" i="5" s="1"/>
  <c r="C76" i="5"/>
  <c r="C110" i="5" s="1"/>
  <c r="Q76" i="5"/>
  <c r="P97" i="2"/>
  <c r="P96" i="2" s="1"/>
  <c r="O97" i="2"/>
  <c r="O96" i="2" s="1"/>
  <c r="N97" i="2"/>
  <c r="N96" i="2" s="1"/>
  <c r="P92" i="2"/>
  <c r="P91" i="2" s="1"/>
  <c r="O92" i="2"/>
  <c r="O91" i="2" s="1"/>
  <c r="N92" i="2"/>
  <c r="N91" i="2" s="1"/>
  <c r="P87" i="2"/>
  <c r="P86" i="2" s="1"/>
  <c r="O87" i="2"/>
  <c r="O86" i="2" s="1"/>
  <c r="N87" i="2"/>
  <c r="N86" i="2" s="1"/>
  <c r="E10" i="2"/>
  <c r="F10" i="2" s="1"/>
  <c r="C13" i="1"/>
  <c r="C43" i="1" s="1"/>
  <c r="C73" i="1" s="1"/>
  <c r="D114" i="14"/>
  <c r="C9" i="4"/>
  <c r="H10" i="4"/>
  <c r="H9" i="4"/>
  <c r="C19" i="4"/>
  <c r="C20" i="4"/>
  <c r="C21" i="4"/>
  <c r="C14" i="4"/>
  <c r="C15" i="12"/>
  <c r="D62" i="4"/>
  <c r="G62" i="4" s="1"/>
  <c r="C58" i="4"/>
  <c r="E58" i="4"/>
  <c r="C59" i="4"/>
  <c r="E59" i="4"/>
  <c r="C60" i="4"/>
  <c r="E60" i="4"/>
  <c r="C61" i="4"/>
  <c r="E61" i="4"/>
  <c r="C62" i="4"/>
  <c r="E62" i="4"/>
  <c r="C63" i="4"/>
  <c r="D63" i="4"/>
  <c r="G63" i="4" s="1"/>
  <c r="E63" i="4"/>
  <c r="C64" i="4"/>
  <c r="D64" i="4"/>
  <c r="G64" i="4" s="1"/>
  <c r="E64" i="4"/>
  <c r="C65" i="4"/>
  <c r="D65" i="4"/>
  <c r="G65" i="4" s="1"/>
  <c r="E65" i="4"/>
  <c r="C66" i="4"/>
  <c r="D66" i="4"/>
  <c r="G66" i="4" s="1"/>
  <c r="E66" i="4"/>
  <c r="C10" i="4"/>
  <c r="C36" i="4" s="1"/>
  <c r="C11" i="4"/>
  <c r="C37" i="4" s="1"/>
  <c r="C12" i="4"/>
  <c r="C38" i="4" s="1"/>
  <c r="C13" i="4"/>
  <c r="C39" i="4" s="1"/>
  <c r="C41" i="4"/>
  <c r="Q38" i="5"/>
  <c r="Q97" i="5"/>
  <c r="Q110" i="5"/>
  <c r="E11" i="1"/>
  <c r="F11" i="1" s="1"/>
  <c r="Q91" i="5"/>
  <c r="D41" i="4"/>
  <c r="E41" i="4" s="1"/>
  <c r="D60" i="4"/>
  <c r="G60" i="4" s="1"/>
  <c r="C11" i="8" l="1"/>
  <c r="C31" i="8" s="1"/>
  <c r="C51" i="8" s="1"/>
  <c r="G23" i="3"/>
  <c r="D21" i="4" s="1"/>
  <c r="D22" i="4" s="1"/>
  <c r="D9" i="4"/>
  <c r="D35" i="4" s="1"/>
  <c r="D42" i="4" s="1"/>
  <c r="X30" i="8"/>
  <c r="X91" i="8" s="1"/>
  <c r="X151" i="8" s="1"/>
  <c r="E40" i="3"/>
  <c r="E49" i="3"/>
  <c r="K29" i="2"/>
  <c r="Q89" i="8"/>
  <c r="Q149" i="8" s="1"/>
  <c r="R92" i="8"/>
  <c r="R152" i="8" s="1"/>
  <c r="D14" i="4"/>
  <c r="D40" i="4" s="1"/>
  <c r="E40" i="4" s="1"/>
  <c r="N60" i="1"/>
  <c r="X28" i="8"/>
  <c r="X89" i="8" s="1"/>
  <c r="X149" i="8" s="1"/>
  <c r="Q33" i="5"/>
  <c r="I70" i="2"/>
  <c r="W19" i="8"/>
  <c r="W80" i="8" s="1"/>
  <c r="W140" i="8" s="1"/>
  <c r="P90" i="8"/>
  <c r="P150" i="8" s="1"/>
  <c r="F60" i="1"/>
  <c r="F66" i="1" s="1"/>
  <c r="D61" i="4"/>
  <c r="G61" i="4" s="1"/>
  <c r="O29" i="2"/>
  <c r="D13" i="4"/>
  <c r="D39" i="4" s="1"/>
  <c r="E39" i="4" s="1"/>
  <c r="I91" i="1"/>
  <c r="X14" i="8"/>
  <c r="X75" i="8" s="1"/>
  <c r="X135" i="8" s="1"/>
  <c r="S118" i="8"/>
  <c r="S179" i="8" s="1"/>
  <c r="X23" i="8"/>
  <c r="X84" i="8" s="1"/>
  <c r="X144" i="8" s="1"/>
  <c r="P3" i="8"/>
  <c r="S32" i="8" s="1"/>
  <c r="V19" i="8"/>
  <c r="V80" i="8" s="1"/>
  <c r="V140" i="8" s="1"/>
  <c r="W55" i="8"/>
  <c r="W116" i="8" s="1"/>
  <c r="W176" i="8" s="1"/>
  <c r="P89" i="8"/>
  <c r="P149" i="8" s="1"/>
  <c r="X9" i="8"/>
  <c r="X70" i="8" s="1"/>
  <c r="X130" i="8" s="1"/>
  <c r="V58" i="8"/>
  <c r="V119" i="8" s="1"/>
  <c r="V179" i="8" s="1"/>
  <c r="W22" i="8"/>
  <c r="W83" i="8" s="1"/>
  <c r="W143" i="8" s="1"/>
  <c r="W42" i="8"/>
  <c r="W103" i="8" s="1"/>
  <c r="W163" i="8" s="1"/>
  <c r="Q57" i="2"/>
  <c r="P108" i="8"/>
  <c r="P168" i="8" s="1"/>
  <c r="G59" i="6"/>
  <c r="F68" i="6" s="1"/>
  <c r="Q109" i="8"/>
  <c r="Q169" i="8" s="1"/>
  <c r="P99" i="2"/>
  <c r="F61" i="1"/>
  <c r="G90" i="1"/>
  <c r="G96" i="1" s="1"/>
  <c r="D18" i="4"/>
  <c r="K99" i="2"/>
  <c r="L39" i="14"/>
  <c r="K90" i="1"/>
  <c r="K96" i="1" s="1"/>
  <c r="P91" i="8"/>
  <c r="P151" i="8" s="1"/>
  <c r="H99" i="2"/>
  <c r="Q71" i="5"/>
  <c r="N61" i="1"/>
  <c r="F29" i="2"/>
  <c r="V9" i="8"/>
  <c r="V70" i="8" s="1"/>
  <c r="V130" i="8" s="1"/>
  <c r="P21" i="8"/>
  <c r="P82" i="8" s="1"/>
  <c r="P142" i="8" s="1"/>
  <c r="K31" i="1"/>
  <c r="H30" i="1"/>
  <c r="H36" i="1" s="1"/>
  <c r="W56" i="8"/>
  <c r="W117" i="8" s="1"/>
  <c r="W177" i="8" s="1"/>
  <c r="Y58" i="8"/>
  <c r="Y119" i="8" s="1"/>
  <c r="P93" i="8"/>
  <c r="P153" i="8" s="1"/>
  <c r="X32" i="8"/>
  <c r="X93" i="8" s="1"/>
  <c r="X153" i="8" s="1"/>
  <c r="G77" i="1"/>
  <c r="G91" i="1" s="1"/>
  <c r="P110" i="8"/>
  <c r="P170" i="8" s="1"/>
  <c r="K16" i="2"/>
  <c r="K30" i="2" s="1"/>
  <c r="I29" i="2"/>
  <c r="D12" i="4"/>
  <c r="D38" i="4" s="1"/>
  <c r="E38" i="4" s="1"/>
  <c r="L30" i="1"/>
  <c r="L36" i="1" s="1"/>
  <c r="X29" i="8"/>
  <c r="X90" i="8" s="1"/>
  <c r="X150" i="8" s="1"/>
  <c r="W31" i="8"/>
  <c r="W92" i="8" s="1"/>
  <c r="W152" i="8" s="1"/>
  <c r="P124" i="8"/>
  <c r="S152" i="8" s="1"/>
  <c r="Q91" i="8"/>
  <c r="Q151" i="8" s="1"/>
  <c r="I105" i="2"/>
  <c r="X20" i="8"/>
  <c r="X81" i="8" s="1"/>
  <c r="X141" i="8" s="1"/>
  <c r="I33" i="2"/>
  <c r="V55" i="8"/>
  <c r="V116" i="8" s="1"/>
  <c r="V176" i="8" s="1"/>
  <c r="N25" i="5"/>
  <c r="E24" i="5"/>
  <c r="L24" i="5"/>
  <c r="M15" i="5"/>
  <c r="J25" i="5"/>
  <c r="F16" i="5"/>
  <c r="P15" i="5"/>
  <c r="P25" i="5"/>
  <c r="G16" i="5"/>
  <c r="M16" i="5"/>
  <c r="O15" i="5"/>
  <c r="J15" i="5"/>
  <c r="M17" i="5"/>
  <c r="O24" i="5"/>
  <c r="H16" i="5"/>
  <c r="K15" i="5"/>
  <c r="K16" i="5"/>
  <c r="C11" i="9"/>
  <c r="F38" i="9" s="1"/>
  <c r="E25" i="5"/>
  <c r="E45" i="3"/>
  <c r="P18" i="5" s="1"/>
  <c r="O25" i="5"/>
  <c r="M25" i="5"/>
  <c r="F15" i="5"/>
  <c r="K25" i="5"/>
  <c r="H25" i="5"/>
  <c r="H17" i="5"/>
  <c r="J17" i="5"/>
  <c r="H24" i="5"/>
  <c r="J16" i="5"/>
  <c r="G15" i="5"/>
  <c r="N17" i="5"/>
  <c r="P61" i="1"/>
  <c r="E56" i="2"/>
  <c r="Q56" i="2" s="1"/>
  <c r="M29" i="2"/>
  <c r="M16" i="2"/>
  <c r="M30" i="2" s="1"/>
  <c r="E17" i="5"/>
  <c r="P16" i="5"/>
  <c r="N16" i="5"/>
  <c r="G40" i="5"/>
  <c r="E16" i="5"/>
  <c r="G25" i="5"/>
  <c r="G17" i="5"/>
  <c r="I15" i="5"/>
  <c r="P17" i="5"/>
  <c r="C48" i="5"/>
  <c r="P55" i="5" s="1"/>
  <c r="I16" i="5"/>
  <c r="O17" i="5"/>
  <c r="K17" i="5"/>
  <c r="I17" i="5"/>
  <c r="L16" i="5"/>
  <c r="K24" i="5"/>
  <c r="F25" i="5"/>
  <c r="I25" i="5"/>
  <c r="F17" i="5"/>
  <c r="E15" i="5"/>
  <c r="N24" i="5"/>
  <c r="O16" i="5"/>
  <c r="F40" i="5"/>
  <c r="L17" i="5"/>
  <c r="L25" i="5"/>
  <c r="V14" i="8"/>
  <c r="V75" i="8" s="1"/>
  <c r="V135" i="8" s="1"/>
  <c r="X19" i="8"/>
  <c r="X80" i="8" s="1"/>
  <c r="X140" i="8" s="1"/>
  <c r="V124" i="8"/>
  <c r="V3" i="8"/>
  <c r="D11" i="8"/>
  <c r="G3" i="8"/>
  <c r="J3" i="8" s="1"/>
  <c r="M31" i="8" s="1"/>
  <c r="D58" i="4"/>
  <c r="G58" i="4" s="1"/>
  <c r="Q105" i="5"/>
  <c r="E100" i="2"/>
  <c r="J99" i="2"/>
  <c r="D89" i="14"/>
  <c r="D94" i="14" s="1"/>
  <c r="P103" i="8"/>
  <c r="P163" i="8" s="1"/>
  <c r="V42" i="8"/>
  <c r="V103" i="8" s="1"/>
  <c r="V163" i="8" s="1"/>
  <c r="F70" i="6"/>
  <c r="G70" i="6"/>
  <c r="H70" i="6"/>
  <c r="A59" i="8"/>
  <c r="B31" i="8"/>
  <c r="B51" i="8" s="1"/>
  <c r="A19" i="8"/>
  <c r="E22" i="1"/>
  <c r="Q23" i="1"/>
  <c r="H73" i="6"/>
  <c r="F73" i="6"/>
  <c r="G73" i="6"/>
  <c r="M99" i="2"/>
  <c r="H22" i="1"/>
  <c r="H31" i="1" s="1"/>
  <c r="L49" i="14"/>
  <c r="O90" i="1"/>
  <c r="O96" i="1" s="1"/>
  <c r="L91" i="1"/>
  <c r="O91" i="1"/>
  <c r="I30" i="2"/>
  <c r="P30" i="1"/>
  <c r="P36" i="1" s="1"/>
  <c r="P17" i="1"/>
  <c r="P31" i="1" s="1"/>
  <c r="D10" i="4"/>
  <c r="D36" i="4" s="1"/>
  <c r="E36" i="4" s="1"/>
  <c r="M100" i="2"/>
  <c r="Q52" i="2"/>
  <c r="H66" i="14"/>
  <c r="O77" i="8"/>
  <c r="O72" i="8"/>
  <c r="N100" i="2"/>
  <c r="A39" i="8"/>
  <c r="L89" i="14"/>
  <c r="L94" i="14" s="1"/>
  <c r="L59" i="14"/>
  <c r="O61" i="1"/>
  <c r="P115" i="8"/>
  <c r="P175" i="8" s="1"/>
  <c r="V54" i="8"/>
  <c r="V115" i="8" s="1"/>
  <c r="V175" i="8" s="1"/>
  <c r="G62" i="6"/>
  <c r="D59" i="4"/>
  <c r="G59" i="4" s="1"/>
  <c r="D11" i="4"/>
  <c r="D37" i="4" s="1"/>
  <c r="E37" i="4" s="1"/>
  <c r="J60" i="1"/>
  <c r="G61" i="1"/>
  <c r="W29" i="8"/>
  <c r="W90" i="8" s="1"/>
  <c r="W150" i="8" s="1"/>
  <c r="Q90" i="8"/>
  <c r="Q150" i="8" s="1"/>
  <c r="V48" i="8"/>
  <c r="V109" i="8" s="1"/>
  <c r="V169" i="8" s="1"/>
  <c r="N99" i="2"/>
  <c r="P91" i="1"/>
  <c r="D49" i="14"/>
  <c r="G31" i="1"/>
  <c r="P20" i="8"/>
  <c r="X21" i="8"/>
  <c r="X82" i="8" s="1"/>
  <c r="X142" i="8" s="1"/>
  <c r="O30" i="1"/>
  <c r="O36" i="1" s="1"/>
  <c r="G30" i="1"/>
  <c r="G36" i="1" s="1"/>
  <c r="W57" i="8"/>
  <c r="W118" i="8" s="1"/>
  <c r="W178" i="8" s="1"/>
  <c r="S115" i="8"/>
  <c r="S176" i="8" s="1"/>
  <c r="V31" i="8"/>
  <c r="V92" i="8" s="1"/>
  <c r="V152" i="8" s="1"/>
  <c r="D15" i="14"/>
  <c r="O99" i="2"/>
  <c r="H100" i="2"/>
  <c r="J47" i="1"/>
  <c r="J61" i="1" s="1"/>
  <c r="O30" i="2"/>
  <c r="H74" i="14"/>
  <c r="H39" i="14"/>
  <c r="Q58" i="1"/>
  <c r="D66" i="14"/>
  <c r="T117" i="8"/>
  <c r="T178" i="8" s="1"/>
  <c r="P64" i="8"/>
  <c r="L61" i="1"/>
  <c r="L74" i="14"/>
  <c r="H89" i="14"/>
  <c r="H94" i="14" s="1"/>
  <c r="I60" i="1"/>
  <c r="I66" i="1" s="1"/>
  <c r="F31" i="1"/>
  <c r="T115" i="8"/>
  <c r="T176" i="8" s="1"/>
  <c r="Q108" i="8"/>
  <c r="Q168" i="8" s="1"/>
  <c r="I69" i="2"/>
  <c r="Q18" i="1"/>
  <c r="J31" i="1"/>
  <c r="T116" i="8"/>
  <c r="T177" i="8" s="1"/>
  <c r="P100" i="2"/>
  <c r="K91" i="1"/>
  <c r="I61" i="1"/>
  <c r="M91" i="1"/>
  <c r="K30" i="1"/>
  <c r="K36" i="1" s="1"/>
  <c r="I24" i="5"/>
  <c r="C9" i="15"/>
  <c r="M24" i="5"/>
  <c r="J24" i="5"/>
  <c r="G24" i="5"/>
  <c r="E40" i="5"/>
  <c r="F24" i="5"/>
  <c r="P24" i="5"/>
  <c r="C47" i="2"/>
  <c r="E68" i="2" s="1"/>
  <c r="E33" i="2"/>
  <c r="G33" i="2" s="1"/>
  <c r="E34" i="2"/>
  <c r="G34" i="2" s="1"/>
  <c r="Q90" i="2"/>
  <c r="I104" i="2" s="1"/>
  <c r="L91" i="2"/>
  <c r="L100" i="2" s="1"/>
  <c r="Q92" i="2"/>
  <c r="L99" i="2"/>
  <c r="E47" i="1"/>
  <c r="E60" i="1"/>
  <c r="Q48" i="1"/>
  <c r="Q83" i="1"/>
  <c r="E82" i="1"/>
  <c r="Q53" i="1"/>
  <c r="H52" i="1"/>
  <c r="Q52" i="1" s="1"/>
  <c r="J90" i="1"/>
  <c r="J77" i="1"/>
  <c r="J91" i="1" s="1"/>
  <c r="H87" i="1"/>
  <c r="Q87" i="1" s="1"/>
  <c r="Q88" i="1"/>
  <c r="Q25" i="2"/>
  <c r="I35" i="2" s="1"/>
  <c r="E35" i="2"/>
  <c r="G35" i="2" s="1"/>
  <c r="E27" i="1"/>
  <c r="Q27" i="1" s="1"/>
  <c r="Q28" i="1"/>
  <c r="P29" i="2"/>
  <c r="P21" i="2"/>
  <c r="P30" i="2" s="1"/>
  <c r="L29" i="2"/>
  <c r="L21" i="2"/>
  <c r="L30" i="2" s="1"/>
  <c r="H29" i="2"/>
  <c r="H21" i="2"/>
  <c r="H30" i="2" s="1"/>
  <c r="M60" i="1"/>
  <c r="M47" i="1"/>
  <c r="M61" i="1" s="1"/>
  <c r="E26" i="2"/>
  <c r="Q26" i="2" s="1"/>
  <c r="Q27" i="2"/>
  <c r="J100" i="2"/>
  <c r="I86" i="2"/>
  <c r="I99" i="2"/>
  <c r="F86" i="2"/>
  <c r="F99" i="2"/>
  <c r="K61" i="2"/>
  <c r="K65" i="2" s="1"/>
  <c r="K64" i="2"/>
  <c r="H49" i="14"/>
  <c r="O100" i="2"/>
  <c r="O64" i="2"/>
  <c r="K61" i="1"/>
  <c r="G64" i="2"/>
  <c r="O31" i="1"/>
  <c r="N31" i="1"/>
  <c r="L31" i="1"/>
  <c r="I31" i="1"/>
  <c r="G8" i="6"/>
  <c r="F38" i="6"/>
  <c r="H59" i="14"/>
  <c r="N66" i="1"/>
  <c r="K60" i="1"/>
  <c r="H60" i="1"/>
  <c r="I103" i="2"/>
  <c r="M90" i="1"/>
  <c r="H90" i="1"/>
  <c r="E90" i="1"/>
  <c r="D59" i="14"/>
  <c r="I34" i="2"/>
  <c r="M30" i="1"/>
  <c r="I30" i="1"/>
  <c r="E30" i="1"/>
  <c r="K100" i="2"/>
  <c r="I96" i="2"/>
  <c r="Q96" i="2" s="1"/>
  <c r="Q97" i="2"/>
  <c r="Q87" i="2"/>
  <c r="E99" i="2"/>
  <c r="Q57" i="1"/>
  <c r="M31" i="1"/>
  <c r="E51" i="2"/>
  <c r="E64" i="2"/>
  <c r="Q50" i="2"/>
  <c r="I68" i="2" s="1"/>
  <c r="N77" i="1"/>
  <c r="N91" i="1" s="1"/>
  <c r="N90" i="1"/>
  <c r="F77" i="1"/>
  <c r="F90" i="1"/>
  <c r="Q78" i="1"/>
  <c r="D74" i="14"/>
  <c r="D39" i="14"/>
  <c r="F30" i="2"/>
  <c r="R83" i="8"/>
  <c r="R143" i="8" s="1"/>
  <c r="X22" i="8"/>
  <c r="X83" i="8" s="1"/>
  <c r="X143" i="8" s="1"/>
  <c r="A3" i="15"/>
  <c r="E4" i="9"/>
  <c r="C57" i="3" s="1"/>
  <c r="B41" i="9"/>
  <c r="N30" i="1"/>
  <c r="J30" i="1"/>
  <c r="F30" i="1"/>
  <c r="G86" i="2"/>
  <c r="G100" i="2" s="1"/>
  <c r="G99" i="2"/>
  <c r="P51" i="2"/>
  <c r="P65" i="2" s="1"/>
  <c r="P64" i="2"/>
  <c r="O65" i="2"/>
  <c r="N51" i="2"/>
  <c r="N65" i="2" s="1"/>
  <c r="N64" i="2"/>
  <c r="M51" i="2"/>
  <c r="M65" i="2" s="1"/>
  <c r="M64" i="2"/>
  <c r="L51" i="2"/>
  <c r="L65" i="2" s="1"/>
  <c r="L64" i="2"/>
  <c r="J51" i="2"/>
  <c r="J65" i="2" s="1"/>
  <c r="J64" i="2"/>
  <c r="I51" i="2"/>
  <c r="I65" i="2" s="1"/>
  <c r="I64" i="2"/>
  <c r="H51" i="2"/>
  <c r="H65" i="2" s="1"/>
  <c r="H64" i="2"/>
  <c r="G65" i="2"/>
  <c r="F51" i="2"/>
  <c r="F65" i="2" s="1"/>
  <c r="F64" i="2"/>
  <c r="E61" i="2"/>
  <c r="Q62" i="2"/>
  <c r="N29" i="2"/>
  <c r="N16" i="2"/>
  <c r="N30" i="2" s="1"/>
  <c r="J16" i="2"/>
  <c r="J30" i="2" s="1"/>
  <c r="J29" i="2"/>
  <c r="L66" i="14"/>
  <c r="O60" i="1"/>
  <c r="L60" i="1"/>
  <c r="J66" i="1"/>
  <c r="G60" i="1"/>
  <c r="P60" i="1"/>
  <c r="L90" i="1"/>
  <c r="I90" i="1"/>
  <c r="P90" i="1"/>
  <c r="E33" i="3"/>
  <c r="H8" i="4"/>
  <c r="G21" i="2"/>
  <c r="Q22" i="2"/>
  <c r="G29" i="2"/>
  <c r="E16" i="2"/>
  <c r="E29" i="2"/>
  <c r="Q17" i="2"/>
  <c r="Q81" i="8"/>
  <c r="Q141" i="8" s="1"/>
  <c r="W20" i="8"/>
  <c r="W81" i="8" s="1"/>
  <c r="W141" i="8" s="1"/>
  <c r="P22" i="8"/>
  <c r="J83" i="8"/>
  <c r="J143" i="8" s="1"/>
  <c r="F74" i="6"/>
  <c r="G74" i="6"/>
  <c r="R98" i="8"/>
  <c r="R158" i="8" s="1"/>
  <c r="X37" i="8"/>
  <c r="X98" i="8" s="1"/>
  <c r="X158" i="8" s="1"/>
  <c r="P118" i="8"/>
  <c r="V57" i="8"/>
  <c r="V118" i="8" s="1"/>
  <c r="V178" i="8" s="1"/>
  <c r="Z58" i="8"/>
  <c r="Z119" i="8" s="1"/>
  <c r="T119" i="8"/>
  <c r="Y55" i="8"/>
  <c r="Y116" i="8" s="1"/>
  <c r="Y177" i="8" s="1"/>
  <c r="S116" i="8"/>
  <c r="S177" i="8" s="1"/>
  <c r="E35" i="4"/>
  <c r="E42" i="4" s="1"/>
  <c r="J10" i="15"/>
  <c r="B10" i="15"/>
  <c r="W54" i="8"/>
  <c r="W115" i="8" s="1"/>
  <c r="W175" i="8" s="1"/>
  <c r="Q115" i="8"/>
  <c r="P179" i="8"/>
  <c r="R119" i="8"/>
  <c r="H72" i="6"/>
  <c r="F72" i="6"/>
  <c r="G72" i="6"/>
  <c r="W21" i="8"/>
  <c r="W82" i="8" s="1"/>
  <c r="W142" i="8" s="1"/>
  <c r="P23" i="8"/>
  <c r="V37" i="8"/>
  <c r="V98" i="8" s="1"/>
  <c r="V158" i="8" s="1"/>
  <c r="P176" i="8"/>
  <c r="R116" i="8"/>
  <c r="P117" i="8"/>
  <c r="V56" i="8"/>
  <c r="V117" i="8" s="1"/>
  <c r="V177" i="8" s="1"/>
  <c r="S117" i="8"/>
  <c r="S178" i="8" s="1"/>
  <c r="S103" i="8"/>
  <c r="O102" i="8" s="1"/>
  <c r="O67" i="8"/>
  <c r="J64" i="8"/>
  <c r="J124" i="8"/>
  <c r="Z57" i="8"/>
  <c r="Z118" i="8" s="1"/>
  <c r="Z179" i="8" s="1"/>
  <c r="T118" i="8"/>
  <c r="T179" i="8" s="1"/>
  <c r="V64" i="8"/>
  <c r="V123" i="8"/>
  <c r="V63" i="8"/>
  <c r="V2" i="8"/>
  <c r="P2" i="8"/>
  <c r="P123" i="8"/>
  <c r="F69" i="6"/>
  <c r="G69" i="6"/>
  <c r="R103" i="8"/>
  <c r="R163" i="8" s="1"/>
  <c r="X42" i="8"/>
  <c r="X103" i="8" s="1"/>
  <c r="X163" i="8" s="1"/>
  <c r="E48" i="3" l="1"/>
  <c r="E56" i="3"/>
  <c r="C8" i="9" s="1"/>
  <c r="A22" i="8"/>
  <c r="A62" i="8"/>
  <c r="A42" i="8"/>
  <c r="E42" i="3"/>
  <c r="S31" i="8"/>
  <c r="O146" i="8"/>
  <c r="G26" i="3"/>
  <c r="O110" i="2"/>
  <c r="O99" i="5" s="1"/>
  <c r="C4" i="9"/>
  <c r="C5" i="9" s="1"/>
  <c r="S151" i="8"/>
  <c r="S149" i="8"/>
  <c r="H16" i="4"/>
  <c r="I71" i="2"/>
  <c r="G10" i="6" s="1"/>
  <c r="D15" i="4"/>
  <c r="D24" i="4" s="1"/>
  <c r="F64" i="1"/>
  <c r="F57" i="5" s="1"/>
  <c r="N53" i="5"/>
  <c r="F63" i="5"/>
  <c r="S153" i="8"/>
  <c r="Y152" i="8"/>
  <c r="M110" i="2"/>
  <c r="M99" i="5" s="1"/>
  <c r="S29" i="8"/>
  <c r="S30" i="8"/>
  <c r="O25" i="8"/>
  <c r="Q91" i="2"/>
  <c r="S150" i="8"/>
  <c r="G68" i="6"/>
  <c r="H68" i="6" s="1"/>
  <c r="H75" i="6" s="1"/>
  <c r="J64" i="1"/>
  <c r="S28" i="8"/>
  <c r="Q17" i="1"/>
  <c r="M95" i="1"/>
  <c r="M93" i="5" s="1"/>
  <c r="S90" i="8"/>
  <c r="L95" i="1"/>
  <c r="L93" i="5" s="1"/>
  <c r="G18" i="5"/>
  <c r="P65" i="1"/>
  <c r="P58" i="5" s="1"/>
  <c r="I25" i="8"/>
  <c r="N65" i="1"/>
  <c r="N58" i="5" s="1"/>
  <c r="K94" i="1"/>
  <c r="K92" i="5" s="1"/>
  <c r="I64" i="1"/>
  <c r="H93" i="14"/>
  <c r="H95" i="14" s="1"/>
  <c r="H34" i="1"/>
  <c r="H19" i="5" s="1"/>
  <c r="V21" i="8"/>
  <c r="V82" i="8" s="1"/>
  <c r="V142" i="8" s="1"/>
  <c r="O94" i="1"/>
  <c r="O92" i="5" s="1"/>
  <c r="L93" i="14"/>
  <c r="L95" i="14" s="1"/>
  <c r="K75" i="2"/>
  <c r="K65" i="5" s="1"/>
  <c r="P74" i="2"/>
  <c r="P64" i="5" s="1"/>
  <c r="P95" i="1"/>
  <c r="P93" i="5" s="1"/>
  <c r="P35" i="1"/>
  <c r="P20" i="5" s="1"/>
  <c r="O86" i="8"/>
  <c r="L65" i="1"/>
  <c r="L58" i="5" s="1"/>
  <c r="P109" i="2"/>
  <c r="P98" i="5" s="1"/>
  <c r="C38" i="9"/>
  <c r="H38" i="9"/>
  <c r="H17" i="9"/>
  <c r="H26" i="9" s="1"/>
  <c r="H35" i="9" s="1"/>
  <c r="H44" i="9" s="1"/>
  <c r="H53" i="9" s="1"/>
  <c r="H62" i="9" s="1"/>
  <c r="H71" i="9" s="1"/>
  <c r="H80" i="9" s="1"/>
  <c r="H89" i="9" s="1"/>
  <c r="H98" i="9" s="1"/>
  <c r="H107" i="9" s="1"/>
  <c r="H116" i="9" s="1"/>
  <c r="H125" i="9" s="1"/>
  <c r="H134" i="9" s="1"/>
  <c r="H143" i="9" s="1"/>
  <c r="H152" i="9" s="1"/>
  <c r="H161" i="9" s="1"/>
  <c r="H170" i="9" s="1"/>
  <c r="H179" i="9" s="1"/>
  <c r="H188" i="9" s="1"/>
  <c r="H197" i="9" s="1"/>
  <c r="H206" i="9" s="1"/>
  <c r="D20" i="9"/>
  <c r="K20" i="9"/>
  <c r="L38" i="9"/>
  <c r="I17" i="9"/>
  <c r="I26" i="9" s="1"/>
  <c r="I35" i="9" s="1"/>
  <c r="I44" i="9" s="1"/>
  <c r="I53" i="9" s="1"/>
  <c r="I62" i="9" s="1"/>
  <c r="I71" i="9" s="1"/>
  <c r="I80" i="9" s="1"/>
  <c r="I89" i="9" s="1"/>
  <c r="I98" i="9" s="1"/>
  <c r="I107" i="9" s="1"/>
  <c r="I116" i="9" s="1"/>
  <c r="I125" i="9" s="1"/>
  <c r="I134" i="9" s="1"/>
  <c r="I143" i="9" s="1"/>
  <c r="I152" i="9" s="1"/>
  <c r="I161" i="9" s="1"/>
  <c r="I170" i="9" s="1"/>
  <c r="I179" i="9" s="1"/>
  <c r="I188" i="9" s="1"/>
  <c r="I197" i="9" s="1"/>
  <c r="I206" i="9" s="1"/>
  <c r="J17" i="9"/>
  <c r="J26" i="9" s="1"/>
  <c r="J35" i="9" s="1"/>
  <c r="J44" i="9" s="1"/>
  <c r="J53" i="9" s="1"/>
  <c r="J62" i="9" s="1"/>
  <c r="J71" i="9" s="1"/>
  <c r="J80" i="9" s="1"/>
  <c r="J89" i="9" s="1"/>
  <c r="J98" i="9" s="1"/>
  <c r="J107" i="9" s="1"/>
  <c r="J116" i="9" s="1"/>
  <c r="J125" i="9" s="1"/>
  <c r="J134" i="9" s="1"/>
  <c r="J143" i="9" s="1"/>
  <c r="J152" i="9" s="1"/>
  <c r="J161" i="9" s="1"/>
  <c r="J170" i="9" s="1"/>
  <c r="J179" i="9" s="1"/>
  <c r="J188" i="9" s="1"/>
  <c r="J197" i="9" s="1"/>
  <c r="J206" i="9" s="1"/>
  <c r="E38" i="9"/>
  <c r="C12" i="9"/>
  <c r="L18" i="5"/>
  <c r="E17" i="9"/>
  <c r="E26" i="9" s="1"/>
  <c r="E35" i="9" s="1"/>
  <c r="E44" i="9" s="1"/>
  <c r="E53" i="9" s="1"/>
  <c r="E62" i="9" s="1"/>
  <c r="E71" i="9" s="1"/>
  <c r="E80" i="9" s="1"/>
  <c r="E89" i="9" s="1"/>
  <c r="E98" i="9" s="1"/>
  <c r="E107" i="9" s="1"/>
  <c r="E116" i="9" s="1"/>
  <c r="E125" i="9" s="1"/>
  <c r="E134" i="9" s="1"/>
  <c r="E143" i="9" s="1"/>
  <c r="E152" i="9" s="1"/>
  <c r="E161" i="9" s="1"/>
  <c r="E170" i="9" s="1"/>
  <c r="E179" i="9" s="1"/>
  <c r="E188" i="9" s="1"/>
  <c r="E197" i="9" s="1"/>
  <c r="E206" i="9" s="1"/>
  <c r="M29" i="9"/>
  <c r="J29" i="9"/>
  <c r="F17" i="9"/>
  <c r="F26" i="9" s="1"/>
  <c r="F35" i="9" s="1"/>
  <c r="F44" i="9" s="1"/>
  <c r="F53" i="9" s="1"/>
  <c r="F62" i="9" s="1"/>
  <c r="F71" i="9" s="1"/>
  <c r="F80" i="9" s="1"/>
  <c r="F89" i="9" s="1"/>
  <c r="F98" i="9" s="1"/>
  <c r="F107" i="9" s="1"/>
  <c r="F116" i="9" s="1"/>
  <c r="F125" i="9" s="1"/>
  <c r="F134" i="9" s="1"/>
  <c r="F143" i="9" s="1"/>
  <c r="F152" i="9" s="1"/>
  <c r="F161" i="9" s="1"/>
  <c r="F170" i="9" s="1"/>
  <c r="F179" i="9" s="1"/>
  <c r="F188" i="9" s="1"/>
  <c r="F197" i="9" s="1"/>
  <c r="F206" i="9" s="1"/>
  <c r="M38" i="9"/>
  <c r="K29" i="9"/>
  <c r="D38" i="9"/>
  <c r="F20" i="9"/>
  <c r="E29" i="9"/>
  <c r="L29" i="9"/>
  <c r="G38" i="9"/>
  <c r="Q17" i="5"/>
  <c r="N38" i="9"/>
  <c r="F29" i="9"/>
  <c r="D29" i="9"/>
  <c r="E20" i="9"/>
  <c r="C29" i="9"/>
  <c r="C20" i="9"/>
  <c r="N20" i="9"/>
  <c r="I38" i="9"/>
  <c r="C17" i="9"/>
  <c r="C26" i="9" s="1"/>
  <c r="C35" i="9" s="1"/>
  <c r="C44" i="9" s="1"/>
  <c r="C53" i="9" s="1"/>
  <c r="C62" i="9" s="1"/>
  <c r="C71" i="9" s="1"/>
  <c r="C80" i="9" s="1"/>
  <c r="C89" i="9" s="1"/>
  <c r="C98" i="9" s="1"/>
  <c r="C107" i="9" s="1"/>
  <c r="C116" i="9" s="1"/>
  <c r="C125" i="9" s="1"/>
  <c r="C134" i="9" s="1"/>
  <c r="C143" i="9" s="1"/>
  <c r="C152" i="9" s="1"/>
  <c r="C161" i="9" s="1"/>
  <c r="C170" i="9" s="1"/>
  <c r="C179" i="9" s="1"/>
  <c r="C188" i="9" s="1"/>
  <c r="C197" i="9" s="1"/>
  <c r="C206" i="9" s="1"/>
  <c r="K17" i="9"/>
  <c r="K26" i="9" s="1"/>
  <c r="K35" i="9" s="1"/>
  <c r="K44" i="9" s="1"/>
  <c r="K53" i="9" s="1"/>
  <c r="K62" i="9" s="1"/>
  <c r="K71" i="9" s="1"/>
  <c r="K80" i="9" s="1"/>
  <c r="K89" i="9" s="1"/>
  <c r="K98" i="9" s="1"/>
  <c r="K107" i="9" s="1"/>
  <c r="K116" i="9" s="1"/>
  <c r="K125" i="9" s="1"/>
  <c r="K134" i="9" s="1"/>
  <c r="K143" i="9" s="1"/>
  <c r="K152" i="9" s="1"/>
  <c r="K161" i="9" s="1"/>
  <c r="K170" i="9" s="1"/>
  <c r="K179" i="9" s="1"/>
  <c r="K188" i="9" s="1"/>
  <c r="K197" i="9" s="1"/>
  <c r="K206" i="9" s="1"/>
  <c r="G20" i="9"/>
  <c r="D17" i="9"/>
  <c r="D26" i="9" s="1"/>
  <c r="D35" i="9" s="1"/>
  <c r="D44" i="9" s="1"/>
  <c r="D53" i="9" s="1"/>
  <c r="D62" i="9" s="1"/>
  <c r="D71" i="9" s="1"/>
  <c r="D80" i="9" s="1"/>
  <c r="D89" i="9" s="1"/>
  <c r="D98" i="9" s="1"/>
  <c r="D107" i="9" s="1"/>
  <c r="D116" i="9" s="1"/>
  <c r="D125" i="9" s="1"/>
  <c r="D134" i="9" s="1"/>
  <c r="D143" i="9" s="1"/>
  <c r="D152" i="9" s="1"/>
  <c r="D161" i="9" s="1"/>
  <c r="D170" i="9" s="1"/>
  <c r="D179" i="9" s="1"/>
  <c r="D188" i="9" s="1"/>
  <c r="D197" i="9" s="1"/>
  <c r="D206" i="9" s="1"/>
  <c r="M20" i="9"/>
  <c r="G29" i="9"/>
  <c r="G17" i="9"/>
  <c r="G26" i="9" s="1"/>
  <c r="G35" i="9" s="1"/>
  <c r="G44" i="9" s="1"/>
  <c r="G53" i="9" s="1"/>
  <c r="G62" i="9" s="1"/>
  <c r="G71" i="9" s="1"/>
  <c r="G80" i="9" s="1"/>
  <c r="G89" i="9" s="1"/>
  <c r="G98" i="9" s="1"/>
  <c r="G107" i="9" s="1"/>
  <c r="G116" i="9" s="1"/>
  <c r="G125" i="9" s="1"/>
  <c r="G134" i="9" s="1"/>
  <c r="G143" i="9" s="1"/>
  <c r="G152" i="9" s="1"/>
  <c r="G161" i="9" s="1"/>
  <c r="G170" i="9" s="1"/>
  <c r="G179" i="9" s="1"/>
  <c r="G188" i="9" s="1"/>
  <c r="G197" i="9" s="1"/>
  <c r="G206" i="9" s="1"/>
  <c r="Q25" i="5"/>
  <c r="N34" i="5"/>
  <c r="Q16" i="5"/>
  <c r="L56" i="5"/>
  <c r="J18" i="5"/>
  <c r="M18" i="5"/>
  <c r="E18" i="5"/>
  <c r="H18" i="5"/>
  <c r="N18" i="5"/>
  <c r="I18" i="5"/>
  <c r="O18" i="5"/>
  <c r="K18" i="5"/>
  <c r="L17" i="9"/>
  <c r="L26" i="9" s="1"/>
  <c r="L35" i="9" s="1"/>
  <c r="L44" i="9" s="1"/>
  <c r="L53" i="9" s="1"/>
  <c r="L62" i="9" s="1"/>
  <c r="L71" i="9" s="1"/>
  <c r="L80" i="9" s="1"/>
  <c r="L89" i="9" s="1"/>
  <c r="L98" i="9" s="1"/>
  <c r="L107" i="9" s="1"/>
  <c r="L116" i="9" s="1"/>
  <c r="L125" i="9" s="1"/>
  <c r="L134" i="9" s="1"/>
  <c r="L143" i="9" s="1"/>
  <c r="L152" i="9" s="1"/>
  <c r="L161" i="9" s="1"/>
  <c r="L170" i="9" s="1"/>
  <c r="L179" i="9" s="1"/>
  <c r="L188" i="9" s="1"/>
  <c r="L197" i="9" s="1"/>
  <c r="L206" i="9" s="1"/>
  <c r="J38" i="9"/>
  <c r="I20" i="9"/>
  <c r="C16" i="9"/>
  <c r="H20" i="9"/>
  <c r="N29" i="9"/>
  <c r="N17" i="9"/>
  <c r="N26" i="9" s="1"/>
  <c r="N35" i="9" s="1"/>
  <c r="N44" i="9" s="1"/>
  <c r="N53" i="9" s="1"/>
  <c r="N62" i="9" s="1"/>
  <c r="N71" i="9" s="1"/>
  <c r="N80" i="9" s="1"/>
  <c r="N89" i="9" s="1"/>
  <c r="N98" i="9" s="1"/>
  <c r="N107" i="9" s="1"/>
  <c r="N116" i="9" s="1"/>
  <c r="N125" i="9" s="1"/>
  <c r="N134" i="9" s="1"/>
  <c r="N143" i="9" s="1"/>
  <c r="N152" i="9" s="1"/>
  <c r="N161" i="9" s="1"/>
  <c r="N170" i="9" s="1"/>
  <c r="N179" i="9" s="1"/>
  <c r="N188" i="9" s="1"/>
  <c r="N197" i="9" s="1"/>
  <c r="N206" i="9" s="1"/>
  <c r="K38" i="9"/>
  <c r="M17" i="9"/>
  <c r="M26" i="9" s="1"/>
  <c r="M35" i="9" s="1"/>
  <c r="M44" i="9" s="1"/>
  <c r="M53" i="9" s="1"/>
  <c r="M62" i="9" s="1"/>
  <c r="M71" i="9" s="1"/>
  <c r="M80" i="9" s="1"/>
  <c r="M89" i="9" s="1"/>
  <c r="M98" i="9" s="1"/>
  <c r="M107" i="9" s="1"/>
  <c r="M116" i="9" s="1"/>
  <c r="M125" i="9" s="1"/>
  <c r="M134" i="9" s="1"/>
  <c r="M143" i="9" s="1"/>
  <c r="M152" i="9" s="1"/>
  <c r="M161" i="9" s="1"/>
  <c r="M170" i="9" s="1"/>
  <c r="M179" i="9" s="1"/>
  <c r="M188" i="9" s="1"/>
  <c r="M197" i="9" s="1"/>
  <c r="M206" i="9" s="1"/>
  <c r="I29" i="9"/>
  <c r="H29" i="9"/>
  <c r="F18" i="5"/>
  <c r="S91" i="8"/>
  <c r="U146" i="8"/>
  <c r="Y151" i="8"/>
  <c r="Y153" i="8"/>
  <c r="Y150" i="8"/>
  <c r="N63" i="5"/>
  <c r="J53" i="5"/>
  <c r="M63" i="5"/>
  <c r="I54" i="5"/>
  <c r="G53" i="5"/>
  <c r="E53" i="5"/>
  <c r="H62" i="5"/>
  <c r="L62" i="5"/>
  <c r="F56" i="5"/>
  <c r="I53" i="5"/>
  <c r="H55" i="5"/>
  <c r="K62" i="5"/>
  <c r="I56" i="5"/>
  <c r="F53" i="5"/>
  <c r="K63" i="5"/>
  <c r="I62" i="5"/>
  <c r="H56" i="5"/>
  <c r="E63" i="5"/>
  <c r="F55" i="5"/>
  <c r="O55" i="5"/>
  <c r="N56" i="5"/>
  <c r="L54" i="5"/>
  <c r="N55" i="5"/>
  <c r="G63" i="5"/>
  <c r="H54" i="5"/>
  <c r="P53" i="5"/>
  <c r="P54" i="5"/>
  <c r="O63" i="5"/>
  <c r="M54" i="5"/>
  <c r="P63" i="5"/>
  <c r="L63" i="5"/>
  <c r="G54" i="5"/>
  <c r="L53" i="5"/>
  <c r="N62" i="5"/>
  <c r="J54" i="5"/>
  <c r="O54" i="5"/>
  <c r="O53" i="5"/>
  <c r="C86" i="5"/>
  <c r="K56" i="5"/>
  <c r="J55" i="5"/>
  <c r="L55" i="5"/>
  <c r="P62" i="5"/>
  <c r="J56" i="5"/>
  <c r="N54" i="5"/>
  <c r="J63" i="5"/>
  <c r="K55" i="5"/>
  <c r="H63" i="5"/>
  <c r="K53" i="5"/>
  <c r="E54" i="5"/>
  <c r="I55" i="5"/>
  <c r="O62" i="5"/>
  <c r="E56" i="5"/>
  <c r="M55" i="5"/>
  <c r="F62" i="5"/>
  <c r="G56" i="5"/>
  <c r="G55" i="5"/>
  <c r="J62" i="5"/>
  <c r="I63" i="5"/>
  <c r="M53" i="5"/>
  <c r="M62" i="5"/>
  <c r="K54" i="5"/>
  <c r="F54" i="5"/>
  <c r="E62" i="5"/>
  <c r="P56" i="5"/>
  <c r="E55" i="5"/>
  <c r="H53" i="5"/>
  <c r="G62" i="5"/>
  <c r="M56" i="5"/>
  <c r="O56" i="5"/>
  <c r="N40" i="2"/>
  <c r="N27" i="5" s="1"/>
  <c r="M74" i="2"/>
  <c r="M64" i="5" s="1"/>
  <c r="O65" i="1"/>
  <c r="O58" i="5" s="1"/>
  <c r="H4" i="9"/>
  <c r="E57" i="3" s="1"/>
  <c r="S9" i="15"/>
  <c r="I35" i="1"/>
  <c r="I20" i="5" s="1"/>
  <c r="Y29" i="8"/>
  <c r="Y32" i="8"/>
  <c r="Y31" i="8"/>
  <c r="Y30" i="8"/>
  <c r="Y28" i="8"/>
  <c r="U25" i="8"/>
  <c r="O97" i="8"/>
  <c r="I74" i="2"/>
  <c r="N95" i="1"/>
  <c r="N93" i="5" s="1"/>
  <c r="K35" i="1"/>
  <c r="K20" i="5" s="1"/>
  <c r="Y149" i="8"/>
  <c r="M35" i="1"/>
  <c r="M20" i="5" s="1"/>
  <c r="N110" i="2"/>
  <c r="N99" i="5" s="1"/>
  <c r="I36" i="2"/>
  <c r="F10" i="6" s="1"/>
  <c r="P81" i="8"/>
  <c r="P141" i="8" s="1"/>
  <c r="V20" i="8"/>
  <c r="V81" i="8" s="1"/>
  <c r="V141" i="8" s="1"/>
  <c r="G67" i="4"/>
  <c r="Q22" i="1"/>
  <c r="F71" i="6"/>
  <c r="F75" i="6" s="1"/>
  <c r="H71" i="6"/>
  <c r="G71" i="6"/>
  <c r="D93" i="14"/>
  <c r="D95" i="14" s="1"/>
  <c r="E10" i="14" s="1"/>
  <c r="M78" i="5" s="1"/>
  <c r="P110" i="2"/>
  <c r="P99" i="5" s="1"/>
  <c r="M29" i="8"/>
  <c r="M30" i="8"/>
  <c r="M28" i="8"/>
  <c r="M32" i="8"/>
  <c r="S92" i="8"/>
  <c r="S89" i="8"/>
  <c r="S93" i="8"/>
  <c r="E110" i="2"/>
  <c r="E99" i="5" s="1"/>
  <c r="A65" i="8"/>
  <c r="D31" i="8"/>
  <c r="D51" i="8" s="1"/>
  <c r="A25" i="8"/>
  <c r="A45" i="8"/>
  <c r="G122" i="8"/>
  <c r="Q24" i="5"/>
  <c r="C10" i="15"/>
  <c r="F10" i="15" s="1"/>
  <c r="E11" i="15" s="1"/>
  <c r="E9" i="15"/>
  <c r="O127" i="8"/>
  <c r="R179" i="8"/>
  <c r="O132" i="8"/>
  <c r="O137" i="8"/>
  <c r="S163" i="8"/>
  <c r="O162" i="8" s="1"/>
  <c r="R176" i="8"/>
  <c r="H11" i="4"/>
  <c r="I64" i="5"/>
  <c r="K66" i="1"/>
  <c r="K64" i="1"/>
  <c r="G74" i="2"/>
  <c r="L20" i="9"/>
  <c r="F100" i="2"/>
  <c r="H110" i="2" s="1"/>
  <c r="H99" i="5" s="1"/>
  <c r="Q86" i="2"/>
  <c r="M64" i="1"/>
  <c r="M66" i="1"/>
  <c r="Q82" i="1"/>
  <c r="E91" i="1"/>
  <c r="M109" i="2"/>
  <c r="L109" i="2"/>
  <c r="N109" i="2"/>
  <c r="O11" i="8"/>
  <c r="S42" i="8"/>
  <c r="O41" i="8" s="1"/>
  <c r="R55" i="8"/>
  <c r="O6" i="8"/>
  <c r="R58" i="8"/>
  <c r="R57" i="8"/>
  <c r="R56" i="8"/>
  <c r="R54" i="8"/>
  <c r="O16" i="8"/>
  <c r="U127" i="8"/>
  <c r="X176" i="8"/>
  <c r="U132" i="8"/>
  <c r="U137" i="8"/>
  <c r="X175" i="8"/>
  <c r="X177" i="8"/>
  <c r="X178" i="8"/>
  <c r="X179" i="8"/>
  <c r="Y163" i="8"/>
  <c r="U162" i="8" s="1"/>
  <c r="M150" i="8"/>
  <c r="M149" i="8"/>
  <c r="M151" i="8"/>
  <c r="M152" i="8"/>
  <c r="M153" i="8"/>
  <c r="G39" i="2"/>
  <c r="I94" i="1"/>
  <c r="I96" i="1"/>
  <c r="P64" i="1"/>
  <c r="P66" i="1"/>
  <c r="Q61" i="2"/>
  <c r="I75" i="2"/>
  <c r="I65" i="5" s="1"/>
  <c r="L74" i="2"/>
  <c r="N74" i="2"/>
  <c r="P75" i="2"/>
  <c r="P65" i="5" s="1"/>
  <c r="N34" i="1"/>
  <c r="N36" i="1"/>
  <c r="O34" i="1"/>
  <c r="B50" i="9"/>
  <c r="D47" i="9"/>
  <c r="M47" i="9"/>
  <c r="I47" i="9"/>
  <c r="F47" i="9"/>
  <c r="J47" i="9"/>
  <c r="C47" i="9"/>
  <c r="L47" i="9"/>
  <c r="H47" i="9"/>
  <c r="E47" i="9"/>
  <c r="N47" i="9"/>
  <c r="G47" i="9"/>
  <c r="K47" i="9"/>
  <c r="Q77" i="1"/>
  <c r="F91" i="1"/>
  <c r="Q51" i="2"/>
  <c r="E65" i="2"/>
  <c r="G75" i="2" s="1"/>
  <c r="G65" i="5" s="1"/>
  <c r="K40" i="2"/>
  <c r="K27" i="5" s="1"/>
  <c r="M36" i="1"/>
  <c r="M34" i="1"/>
  <c r="N64" i="1"/>
  <c r="L35" i="1"/>
  <c r="L20" i="5" s="1"/>
  <c r="I109" i="2"/>
  <c r="J109" i="2"/>
  <c r="K109" i="2"/>
  <c r="N106" i="5"/>
  <c r="H35" i="2"/>
  <c r="H33" i="2"/>
  <c r="G68" i="2"/>
  <c r="U77" i="8"/>
  <c r="U72" i="8"/>
  <c r="U67" i="8"/>
  <c r="X119" i="8"/>
  <c r="X116" i="8"/>
  <c r="X118" i="8"/>
  <c r="Y103" i="8"/>
  <c r="U102" i="8" s="1"/>
  <c r="X115" i="8"/>
  <c r="X117" i="8"/>
  <c r="E30" i="2"/>
  <c r="F40" i="2" s="1"/>
  <c r="F27" i="5" s="1"/>
  <c r="Q16" i="2"/>
  <c r="J57" i="5"/>
  <c r="J39" i="2"/>
  <c r="K39" i="2"/>
  <c r="M75" i="2"/>
  <c r="M65" i="5" s="1"/>
  <c r="J34" i="1"/>
  <c r="J36" i="1"/>
  <c r="K34" i="1"/>
  <c r="F96" i="1"/>
  <c r="F94" i="1"/>
  <c r="Q64" i="2"/>
  <c r="E74" i="2"/>
  <c r="Q99" i="2"/>
  <c r="E109" i="2"/>
  <c r="I36" i="1"/>
  <c r="I34" i="1"/>
  <c r="L39" i="2"/>
  <c r="M39" i="2"/>
  <c r="E61" i="1"/>
  <c r="Q47" i="1"/>
  <c r="H34" i="2"/>
  <c r="U86" i="8"/>
  <c r="Y92" i="8"/>
  <c r="Y89" i="8"/>
  <c r="Y93" i="8"/>
  <c r="Y90" i="8"/>
  <c r="Y91" i="8"/>
  <c r="M92" i="8"/>
  <c r="M89" i="8"/>
  <c r="M93" i="8"/>
  <c r="M91" i="8"/>
  <c r="M90" i="8"/>
  <c r="Q175" i="8"/>
  <c r="R175" i="8" s="1"/>
  <c r="R115" i="8"/>
  <c r="P83" i="8"/>
  <c r="P143" i="8" s="1"/>
  <c r="V22" i="8"/>
  <c r="V83" i="8" s="1"/>
  <c r="V143" i="8" s="1"/>
  <c r="P96" i="1"/>
  <c r="P94" i="1"/>
  <c r="L96" i="1"/>
  <c r="L94" i="1"/>
  <c r="G66" i="1"/>
  <c r="G64" i="1"/>
  <c r="L64" i="1"/>
  <c r="L66" i="1"/>
  <c r="O40" i="2"/>
  <c r="O27" i="5" s="1"/>
  <c r="H74" i="2"/>
  <c r="J74" i="2"/>
  <c r="L75" i="2"/>
  <c r="L65" i="5" s="1"/>
  <c r="N75" i="2"/>
  <c r="N65" i="5" s="1"/>
  <c r="N96" i="1"/>
  <c r="N94" i="1"/>
  <c r="P40" i="2"/>
  <c r="P27" i="5" s="1"/>
  <c r="H91" i="1"/>
  <c r="J95" i="1" s="1"/>
  <c r="J93" i="5" s="1"/>
  <c r="P34" i="1"/>
  <c r="E94" i="1"/>
  <c r="E96" i="1"/>
  <c r="Q90" i="1"/>
  <c r="M94" i="1"/>
  <c r="M96" i="1"/>
  <c r="A30" i="8"/>
  <c r="G62" i="8" s="1"/>
  <c r="G38" i="6"/>
  <c r="H8" i="6"/>
  <c r="N35" i="1"/>
  <c r="N20" i="5" s="1"/>
  <c r="E72" i="5"/>
  <c r="O74" i="2"/>
  <c r="I100" i="2"/>
  <c r="J110" i="2" s="1"/>
  <c r="J99" i="5" s="1"/>
  <c r="H39" i="2"/>
  <c r="I39" i="2"/>
  <c r="P39" i="2"/>
  <c r="J96" i="1"/>
  <c r="J94" i="1"/>
  <c r="K34" i="5"/>
  <c r="C82" i="2"/>
  <c r="E70" i="2"/>
  <c r="G70" i="2" s="1"/>
  <c r="E69" i="2"/>
  <c r="G69" i="2" s="1"/>
  <c r="I57" i="5"/>
  <c r="U6" i="8"/>
  <c r="U11" i="8"/>
  <c r="X58" i="8"/>
  <c r="X55" i="8"/>
  <c r="U16" i="8"/>
  <c r="X54" i="8"/>
  <c r="Y42" i="8"/>
  <c r="U41" i="8" s="1"/>
  <c r="X57" i="8"/>
  <c r="X56" i="8"/>
  <c r="R117" i="8"/>
  <c r="P177" i="8"/>
  <c r="R177" i="8" s="1"/>
  <c r="P84" i="8"/>
  <c r="P144" i="8" s="1"/>
  <c r="V23" i="8"/>
  <c r="V84" i="8" s="1"/>
  <c r="V144" i="8" s="1"/>
  <c r="J11" i="15"/>
  <c r="B11" i="15"/>
  <c r="O10" i="15"/>
  <c r="P10" i="15"/>
  <c r="P178" i="8"/>
  <c r="R178" i="8" s="1"/>
  <c r="R118" i="8"/>
  <c r="E39" i="2"/>
  <c r="F39" i="2"/>
  <c r="Q29" i="2"/>
  <c r="Q21" i="2"/>
  <c r="G30" i="2"/>
  <c r="J40" i="2" s="1"/>
  <c r="J27" i="5" s="1"/>
  <c r="G94" i="1"/>
  <c r="O66" i="1"/>
  <c r="O64" i="1"/>
  <c r="N39" i="2"/>
  <c r="O39" i="2"/>
  <c r="F74" i="2"/>
  <c r="J75" i="2"/>
  <c r="J65" i="5" s="1"/>
  <c r="O75" i="2"/>
  <c r="O65" i="5" s="1"/>
  <c r="G109" i="2"/>
  <c r="O109" i="2"/>
  <c r="F34" i="1"/>
  <c r="F36" i="1"/>
  <c r="G34" i="1"/>
  <c r="M40" i="2"/>
  <c r="M27" i="5" s="1"/>
  <c r="Q30" i="1"/>
  <c r="E36" i="1"/>
  <c r="E34" i="1"/>
  <c r="E31" i="1"/>
  <c r="H96" i="1"/>
  <c r="H94" i="1"/>
  <c r="I106" i="2"/>
  <c r="H10" i="6" s="1"/>
  <c r="H64" i="1"/>
  <c r="H66" i="1"/>
  <c r="O35" i="1"/>
  <c r="O20" i="5" s="1"/>
  <c r="H109" i="2"/>
  <c r="K74" i="2"/>
  <c r="F109" i="2"/>
  <c r="M65" i="1"/>
  <c r="M58" i="5" s="1"/>
  <c r="L40" i="2"/>
  <c r="L27" i="5" s="1"/>
  <c r="J35" i="1"/>
  <c r="J20" i="5" s="1"/>
  <c r="L34" i="1"/>
  <c r="H61" i="1"/>
  <c r="E64" i="1"/>
  <c r="E66" i="1"/>
  <c r="Q60" i="1"/>
  <c r="O95" i="1"/>
  <c r="O93" i="5" s="1"/>
  <c r="H15" i="5" l="1"/>
  <c r="G75" i="6"/>
  <c r="O9" i="15"/>
  <c r="V9" i="15"/>
  <c r="T9" i="15"/>
  <c r="S10" i="15" s="1"/>
  <c r="T10" i="15" s="1"/>
  <c r="Q10" i="15" s="1"/>
  <c r="P9" i="15"/>
  <c r="N15" i="5"/>
  <c r="I9" i="15"/>
  <c r="M112" i="5"/>
  <c r="C9" i="9"/>
  <c r="H43" i="4"/>
  <c r="I43" i="4" s="1"/>
  <c r="H22" i="4"/>
  <c r="H24" i="4" s="1"/>
  <c r="H75" i="2"/>
  <c r="H65" i="5" s="1"/>
  <c r="E78" i="5"/>
  <c r="O78" i="5"/>
  <c r="G78" i="5"/>
  <c r="P65" i="8"/>
  <c r="C32" i="8" s="1"/>
  <c r="R110" i="8" s="1"/>
  <c r="N78" i="5"/>
  <c r="K78" i="5"/>
  <c r="N40" i="5"/>
  <c r="L110" i="2"/>
  <c r="L99" i="5" s="1"/>
  <c r="H78" i="5"/>
  <c r="I78" i="5"/>
  <c r="P78" i="5"/>
  <c r="F78" i="5"/>
  <c r="L78" i="5"/>
  <c r="O40" i="5"/>
  <c r="J78" i="5"/>
  <c r="P40" i="5"/>
  <c r="P111" i="2"/>
  <c r="P112" i="5"/>
  <c r="G110" i="2"/>
  <c r="G99" i="5" s="1"/>
  <c r="O36" i="8"/>
  <c r="P4" i="8" s="1"/>
  <c r="C12" i="8" s="1"/>
  <c r="L112" i="5"/>
  <c r="U157" i="8"/>
  <c r="V125" i="8" s="1"/>
  <c r="D52" i="8" s="1"/>
  <c r="I112" i="5"/>
  <c r="U97" i="8"/>
  <c r="V65" i="8" s="1"/>
  <c r="D32" i="8" s="1"/>
  <c r="N112" i="5"/>
  <c r="G112" i="5"/>
  <c r="I110" i="2"/>
  <c r="I99" i="5" s="1"/>
  <c r="I146" i="8"/>
  <c r="O112" i="5"/>
  <c r="K112" i="5"/>
  <c r="J112" i="5"/>
  <c r="O157" i="8"/>
  <c r="P125" i="8" s="1"/>
  <c r="C52" i="8" s="1"/>
  <c r="J40" i="5"/>
  <c r="H40" i="5"/>
  <c r="K40" i="5"/>
  <c r="L40" i="5"/>
  <c r="I40" i="5"/>
  <c r="M40" i="5"/>
  <c r="E112" i="5"/>
  <c r="F112" i="5"/>
  <c r="H112" i="5"/>
  <c r="E106" i="5"/>
  <c r="I48" i="4" s="1"/>
  <c r="O38" i="9"/>
  <c r="H19" i="6" s="1"/>
  <c r="Q63" i="5"/>
  <c r="O29" i="9"/>
  <c r="G19" i="6" s="1"/>
  <c r="Q54" i="5"/>
  <c r="Q53" i="5"/>
  <c r="Q18" i="5"/>
  <c r="Q55" i="5"/>
  <c r="C18" i="9"/>
  <c r="C19" i="9"/>
  <c r="C11" i="15"/>
  <c r="F11" i="15" s="1"/>
  <c r="G11" i="15" s="1"/>
  <c r="F75" i="2"/>
  <c r="F65" i="5" s="1"/>
  <c r="N72" i="5"/>
  <c r="O172" i="8"/>
  <c r="Q36" i="1"/>
  <c r="F20" i="6" s="1"/>
  <c r="F43" i="6" s="1"/>
  <c r="Q62" i="5"/>
  <c r="M76" i="2"/>
  <c r="I86" i="8"/>
  <c r="I76" i="2"/>
  <c r="Q56" i="5"/>
  <c r="F9" i="15"/>
  <c r="E10" i="15"/>
  <c r="G10" i="15" s="1"/>
  <c r="H70" i="2"/>
  <c r="H69" i="2"/>
  <c r="H65" i="1"/>
  <c r="H58" i="5" s="1"/>
  <c r="K72" i="5"/>
  <c r="I65" i="1"/>
  <c r="J65" i="1"/>
  <c r="O112" i="8"/>
  <c r="J37" i="1"/>
  <c r="J19" i="5"/>
  <c r="J21" i="5" s="1"/>
  <c r="M19" i="5"/>
  <c r="M21" i="5" s="1"/>
  <c r="M37" i="1"/>
  <c r="L76" i="2"/>
  <c r="L64" i="5"/>
  <c r="I92" i="5"/>
  <c r="L37" i="1"/>
  <c r="L19" i="5"/>
  <c r="U51" i="8"/>
  <c r="I19" i="5"/>
  <c r="I21" i="5" s="1"/>
  <c r="I37" i="1"/>
  <c r="Q74" i="2"/>
  <c r="E64" i="5"/>
  <c r="K98" i="5"/>
  <c r="N67" i="1"/>
  <c r="N57" i="5"/>
  <c r="N59" i="5" s="1"/>
  <c r="F95" i="1"/>
  <c r="F93" i="5" s="1"/>
  <c r="G95" i="1"/>
  <c r="G93" i="5" s="1"/>
  <c r="N19" i="5"/>
  <c r="N37" i="1"/>
  <c r="G26" i="5"/>
  <c r="O51" i="8"/>
  <c r="M98" i="5"/>
  <c r="M111" i="2"/>
  <c r="M67" i="1"/>
  <c r="M57" i="5"/>
  <c r="M59" i="5" s="1"/>
  <c r="G19" i="5"/>
  <c r="G98" i="5"/>
  <c r="N41" i="2"/>
  <c r="N26" i="5"/>
  <c r="O97" i="1"/>
  <c r="D47" i="4"/>
  <c r="H48" i="4"/>
  <c r="G57" i="5"/>
  <c r="J41" i="2"/>
  <c r="J26" i="5"/>
  <c r="E40" i="2"/>
  <c r="E41" i="2" s="1"/>
  <c r="E44" i="2" s="1"/>
  <c r="Q30" i="2"/>
  <c r="H57" i="5"/>
  <c r="H67" i="1"/>
  <c r="Q31" i="1"/>
  <c r="E35" i="1"/>
  <c r="H34" i="5"/>
  <c r="Q34" i="5" s="1"/>
  <c r="H35" i="1"/>
  <c r="G35" i="1"/>
  <c r="G20" i="5" s="1"/>
  <c r="F35" i="1"/>
  <c r="F20" i="5" s="1"/>
  <c r="F9" i="6"/>
  <c r="O67" i="1"/>
  <c r="O57" i="5"/>
  <c r="O59" i="5" s="1"/>
  <c r="F41" i="2"/>
  <c r="F26" i="5"/>
  <c r="B12" i="15"/>
  <c r="O11" i="15"/>
  <c r="P11" i="15"/>
  <c r="E103" i="2"/>
  <c r="G103" i="2" s="1"/>
  <c r="H103" i="2" s="1"/>
  <c r="E105" i="2"/>
  <c r="G105" i="2" s="1"/>
  <c r="H105" i="2" s="1"/>
  <c r="E104" i="2"/>
  <c r="G104" i="2" s="1"/>
  <c r="H104" i="2" s="1"/>
  <c r="E92" i="5"/>
  <c r="Q94" i="1"/>
  <c r="Q66" i="1"/>
  <c r="G20" i="6" s="1"/>
  <c r="F98" i="5"/>
  <c r="H111" i="2"/>
  <c r="H98" i="5"/>
  <c r="F19" i="5"/>
  <c r="F64" i="5"/>
  <c r="G40" i="2"/>
  <c r="G27" i="5" s="1"/>
  <c r="I40" i="2"/>
  <c r="I27" i="5" s="1"/>
  <c r="Q39" i="2"/>
  <c r="E26" i="5"/>
  <c r="P41" i="2"/>
  <c r="P26" i="5"/>
  <c r="H38" i="6"/>
  <c r="A50" i="8"/>
  <c r="M92" i="5"/>
  <c r="M94" i="5" s="1"/>
  <c r="M97" i="1"/>
  <c r="P19" i="5"/>
  <c r="P21" i="5" s="1"/>
  <c r="P37" i="1"/>
  <c r="N92" i="5"/>
  <c r="N94" i="5" s="1"/>
  <c r="N97" i="1"/>
  <c r="L92" i="5"/>
  <c r="L94" i="5" s="1"/>
  <c r="L97" i="1"/>
  <c r="E65" i="1"/>
  <c r="E67" i="1" s="1"/>
  <c r="H72" i="5"/>
  <c r="Q61" i="1"/>
  <c r="G65" i="1"/>
  <c r="G58" i="5" s="1"/>
  <c r="F65" i="1"/>
  <c r="K19" i="5"/>
  <c r="K21" i="5" s="1"/>
  <c r="K37" i="1"/>
  <c r="U112" i="8"/>
  <c r="J111" i="2"/>
  <c r="J98" i="5"/>
  <c r="J56" i="9"/>
  <c r="I56" i="9"/>
  <c r="K56" i="9"/>
  <c r="N56" i="9"/>
  <c r="D56" i="9"/>
  <c r="H56" i="9"/>
  <c r="C56" i="9"/>
  <c r="G56" i="9"/>
  <c r="F56" i="9"/>
  <c r="B59" i="9"/>
  <c r="M56" i="9"/>
  <c r="L56" i="9"/>
  <c r="E56" i="9"/>
  <c r="P57" i="5"/>
  <c r="P59" i="5" s="1"/>
  <c r="P67" i="1"/>
  <c r="U172" i="8"/>
  <c r="Q91" i="1"/>
  <c r="E95" i="1"/>
  <c r="H106" i="5"/>
  <c r="G76" i="2"/>
  <c r="G64" i="5"/>
  <c r="J92" i="5"/>
  <c r="J94" i="5" s="1"/>
  <c r="J97" i="1"/>
  <c r="H26" i="5"/>
  <c r="Q96" i="1"/>
  <c r="H20" i="6" s="1"/>
  <c r="H43" i="6" s="1"/>
  <c r="K106" i="5"/>
  <c r="H95" i="1"/>
  <c r="H93" i="5" s="1"/>
  <c r="I95" i="1"/>
  <c r="I93" i="5" s="1"/>
  <c r="K95" i="1"/>
  <c r="H76" i="2"/>
  <c r="H64" i="5"/>
  <c r="P92" i="5"/>
  <c r="P94" i="5" s="1"/>
  <c r="P97" i="1"/>
  <c r="L41" i="2"/>
  <c r="L26" i="5"/>
  <c r="H36" i="2"/>
  <c r="D45" i="4" s="1"/>
  <c r="L111" i="2"/>
  <c r="L98" i="5"/>
  <c r="G9" i="6"/>
  <c r="G92" i="5"/>
  <c r="Q64" i="1"/>
  <c r="E57" i="5"/>
  <c r="K64" i="5"/>
  <c r="K76" i="2"/>
  <c r="H92" i="5"/>
  <c r="Q34" i="1"/>
  <c r="E19" i="5"/>
  <c r="O98" i="5"/>
  <c r="O111" i="2"/>
  <c r="O26" i="5"/>
  <c r="O41" i="2"/>
  <c r="O94" i="5"/>
  <c r="R109" i="8"/>
  <c r="R108" i="8"/>
  <c r="B43" i="8"/>
  <c r="B44" i="8" s="1"/>
  <c r="U36" i="8"/>
  <c r="V4" i="8" s="1"/>
  <c r="D12" i="8" s="1"/>
  <c r="I26" i="5"/>
  <c r="O76" i="2"/>
  <c r="O64" i="5"/>
  <c r="H9" i="6"/>
  <c r="K110" i="2"/>
  <c r="K99" i="5" s="1"/>
  <c r="J76" i="2"/>
  <c r="J64" i="5"/>
  <c r="L57" i="5"/>
  <c r="L59" i="5" s="1"/>
  <c r="L67" i="1"/>
  <c r="M26" i="5"/>
  <c r="M41" i="2"/>
  <c r="E98" i="5"/>
  <c r="Q109" i="2"/>
  <c r="E111" i="2"/>
  <c r="F92" i="5"/>
  <c r="K41" i="2"/>
  <c r="K26" i="5"/>
  <c r="H68" i="2"/>
  <c r="H40" i="2"/>
  <c r="H27" i="5" s="1"/>
  <c r="I98" i="5"/>
  <c r="K65" i="1"/>
  <c r="K58" i="5" s="1"/>
  <c r="E75" i="2"/>
  <c r="E76" i="2" s="1"/>
  <c r="Q65" i="2"/>
  <c r="O47" i="9"/>
  <c r="O19" i="5"/>
  <c r="O21" i="5" s="1"/>
  <c r="O37" i="1"/>
  <c r="N64" i="5"/>
  <c r="N76" i="2"/>
  <c r="N111" i="2"/>
  <c r="N98" i="5"/>
  <c r="F110" i="2"/>
  <c r="Q100" i="2"/>
  <c r="K57" i="5"/>
  <c r="P76" i="2"/>
  <c r="U9" i="15" l="1"/>
  <c r="L15" i="5"/>
  <c r="L21" i="5" s="1"/>
  <c r="J20" i="9"/>
  <c r="O20" i="9" s="1"/>
  <c r="F19" i="6" s="1"/>
  <c r="N21" i="5"/>
  <c r="L9" i="15"/>
  <c r="M9" i="15" s="1"/>
  <c r="I10" i="15"/>
  <c r="I11" i="15" s="1"/>
  <c r="I12" i="15" s="1"/>
  <c r="F76" i="2"/>
  <c r="Q78" i="5"/>
  <c r="G111" i="2"/>
  <c r="H59" i="5"/>
  <c r="G67" i="1"/>
  <c r="G37" i="1"/>
  <c r="F44" i="2"/>
  <c r="Q40" i="5"/>
  <c r="F94" i="5"/>
  <c r="F37" i="1"/>
  <c r="I111" i="2"/>
  <c r="Q112" i="5"/>
  <c r="E47" i="4"/>
  <c r="Q106" i="5"/>
  <c r="C12" i="15"/>
  <c r="F12" i="15" s="1"/>
  <c r="E13" i="15" s="1"/>
  <c r="E12" i="15"/>
  <c r="E35" i="5"/>
  <c r="C21" i="9"/>
  <c r="D16" i="9"/>
  <c r="E36" i="5"/>
  <c r="K111" i="2"/>
  <c r="O105" i="8"/>
  <c r="C34" i="8" s="1"/>
  <c r="H41" i="2"/>
  <c r="Q76" i="2"/>
  <c r="Q79" i="2" s="1"/>
  <c r="I46" i="4" s="1"/>
  <c r="I50" i="4" s="1"/>
  <c r="I97" i="1"/>
  <c r="I41" i="2"/>
  <c r="F97" i="1"/>
  <c r="Q72" i="5"/>
  <c r="X47" i="8"/>
  <c r="B26" i="8"/>
  <c r="B27" i="8" s="1"/>
  <c r="X48" i="8"/>
  <c r="F99" i="5"/>
  <c r="Q99" i="5" s="1"/>
  <c r="Q110" i="2"/>
  <c r="Q98" i="5"/>
  <c r="H11" i="6"/>
  <c r="H12" i="6"/>
  <c r="H71" i="2"/>
  <c r="E45" i="4" s="1"/>
  <c r="C43" i="8"/>
  <c r="C44" i="8" s="1"/>
  <c r="H97" i="1"/>
  <c r="B68" i="9"/>
  <c r="L65" i="9"/>
  <c r="N65" i="9"/>
  <c r="H65" i="9"/>
  <c r="J65" i="9"/>
  <c r="D65" i="9"/>
  <c r="G65" i="9"/>
  <c r="F65" i="9"/>
  <c r="E65" i="9"/>
  <c r="C65" i="9"/>
  <c r="M65" i="9"/>
  <c r="K65" i="9"/>
  <c r="I65" i="9"/>
  <c r="F58" i="5"/>
  <c r="F59" i="5" s="1"/>
  <c r="F67" i="1"/>
  <c r="Q26" i="5"/>
  <c r="F111" i="2"/>
  <c r="Q92" i="5"/>
  <c r="P12" i="15"/>
  <c r="O12" i="15"/>
  <c r="B13" i="15"/>
  <c r="G21" i="5"/>
  <c r="G11" i="6"/>
  <c r="G12" i="6"/>
  <c r="E20" i="5"/>
  <c r="E21" i="5" s="1"/>
  <c r="Q35" i="1"/>
  <c r="G94" i="5"/>
  <c r="E93" i="5"/>
  <c r="Q95" i="1"/>
  <c r="O56" i="9"/>
  <c r="E58" i="5"/>
  <c r="E59" i="5" s="1"/>
  <c r="Q65" i="1"/>
  <c r="K67" i="1"/>
  <c r="Q19" i="5"/>
  <c r="H94" i="5"/>
  <c r="Q57" i="5"/>
  <c r="G97" i="1"/>
  <c r="K93" i="5"/>
  <c r="K94" i="5" s="1"/>
  <c r="K97" i="1"/>
  <c r="G43" i="6"/>
  <c r="S11" i="15"/>
  <c r="F11" i="6"/>
  <c r="F12" i="6"/>
  <c r="H20" i="5"/>
  <c r="H21" i="5" s="1"/>
  <c r="H37" i="1"/>
  <c r="Q64" i="5"/>
  <c r="H106" i="2"/>
  <c r="I58" i="5"/>
  <c r="I59" i="5" s="1"/>
  <c r="I67" i="1"/>
  <c r="K59" i="5"/>
  <c r="X170" i="8"/>
  <c r="X169" i="8"/>
  <c r="X168" i="8"/>
  <c r="B66" i="8"/>
  <c r="B67" i="8" s="1"/>
  <c r="Q75" i="2"/>
  <c r="E65" i="5"/>
  <c r="Q65" i="5" s="1"/>
  <c r="E37" i="1"/>
  <c r="X108" i="8"/>
  <c r="X110" i="8"/>
  <c r="X109" i="8"/>
  <c r="B46" i="8"/>
  <c r="B47" i="8" s="1"/>
  <c r="R170" i="8"/>
  <c r="R168" i="8"/>
  <c r="R169" i="8"/>
  <c r="B63" i="8"/>
  <c r="B64" i="8" s="1"/>
  <c r="R47" i="8"/>
  <c r="R48" i="8"/>
  <c r="R49" i="8"/>
  <c r="B23" i="8"/>
  <c r="B24" i="8" s="1"/>
  <c r="F21" i="5"/>
  <c r="E97" i="1"/>
  <c r="E27" i="5"/>
  <c r="Q27" i="5" s="1"/>
  <c r="Q40" i="2"/>
  <c r="G59" i="5"/>
  <c r="G41" i="2"/>
  <c r="I94" i="5"/>
  <c r="J58" i="5"/>
  <c r="J59" i="5" s="1"/>
  <c r="J67" i="1"/>
  <c r="Q15" i="5" l="1"/>
  <c r="K11" i="15"/>
  <c r="V11" i="15" s="1"/>
  <c r="K10" i="15"/>
  <c r="F33" i="6"/>
  <c r="F51" i="6" s="1"/>
  <c r="F14" i="6"/>
  <c r="F21" i="6" s="1"/>
  <c r="H33" i="6"/>
  <c r="H51" i="6" s="1"/>
  <c r="H14" i="6"/>
  <c r="H21" i="6" s="1"/>
  <c r="G33" i="6"/>
  <c r="T78" i="5" s="1"/>
  <c r="G14" i="6"/>
  <c r="G21" i="6" s="1"/>
  <c r="G44" i="2"/>
  <c r="H44" i="2" s="1"/>
  <c r="I44" i="2" s="1"/>
  <c r="J44" i="2" s="1"/>
  <c r="K44" i="2" s="1"/>
  <c r="L44" i="2" s="1"/>
  <c r="M44" i="2" s="1"/>
  <c r="N44" i="2" s="1"/>
  <c r="O44" i="2" s="1"/>
  <c r="P44" i="2" s="1"/>
  <c r="E79" i="2" s="1"/>
  <c r="F79" i="2" s="1"/>
  <c r="G79" i="2" s="1"/>
  <c r="H79" i="2" s="1"/>
  <c r="I79" i="2" s="1"/>
  <c r="J79" i="2" s="1"/>
  <c r="K79" i="2" s="1"/>
  <c r="L79" i="2" s="1"/>
  <c r="M79" i="2" s="1"/>
  <c r="N79" i="2" s="1"/>
  <c r="O79" i="2" s="1"/>
  <c r="P79" i="2" s="1"/>
  <c r="E114" i="2" s="1"/>
  <c r="F114" i="2" s="1"/>
  <c r="G114" i="2" s="1"/>
  <c r="H114" i="2" s="1"/>
  <c r="I114" i="2" s="1"/>
  <c r="J114" i="2" s="1"/>
  <c r="K114" i="2" s="1"/>
  <c r="L114" i="2" s="1"/>
  <c r="M114" i="2" s="1"/>
  <c r="N114" i="2" s="1"/>
  <c r="O114" i="2" s="1"/>
  <c r="P114" i="2" s="1"/>
  <c r="Q111" i="2"/>
  <c r="Q114" i="2" s="1"/>
  <c r="C13" i="15"/>
  <c r="F13" i="15" s="1"/>
  <c r="G13" i="15" s="1"/>
  <c r="G12" i="15"/>
  <c r="K12" i="15" s="1"/>
  <c r="V12" i="15" s="1"/>
  <c r="D43" i="8"/>
  <c r="D44" i="8" s="1"/>
  <c r="C46" i="8"/>
  <c r="C47" i="8" s="1"/>
  <c r="D18" i="9"/>
  <c r="D19" i="9"/>
  <c r="Q97" i="1"/>
  <c r="Q100" i="1" s="1"/>
  <c r="C23" i="8"/>
  <c r="C24" i="8" s="1"/>
  <c r="Q93" i="5"/>
  <c r="Q67" i="1"/>
  <c r="Q70" i="1" s="1"/>
  <c r="E46" i="4" s="1"/>
  <c r="Q41" i="2"/>
  <c r="Q44" i="2" s="1"/>
  <c r="H46" i="4" s="1"/>
  <c r="H50" i="4" s="1"/>
  <c r="Q21" i="5"/>
  <c r="O44" i="8"/>
  <c r="C14" i="8" s="1"/>
  <c r="Q59" i="5"/>
  <c r="O165" i="8"/>
  <c r="C54" i="8" s="1"/>
  <c r="C66" i="8"/>
  <c r="F77" i="5"/>
  <c r="J77" i="5"/>
  <c r="N77" i="5"/>
  <c r="G77" i="5"/>
  <c r="K77" i="5"/>
  <c r="O77" i="5"/>
  <c r="H77" i="5"/>
  <c r="L77" i="5"/>
  <c r="P77" i="5"/>
  <c r="E77" i="5"/>
  <c r="M77" i="5"/>
  <c r="I77" i="5"/>
  <c r="Q58" i="5"/>
  <c r="Q20" i="5"/>
  <c r="O13" i="15"/>
  <c r="P13" i="15"/>
  <c r="B14" i="15"/>
  <c r="E94" i="5"/>
  <c r="B77" i="9"/>
  <c r="K74" i="9"/>
  <c r="I74" i="9"/>
  <c r="E74" i="9"/>
  <c r="L74" i="9"/>
  <c r="F74" i="9"/>
  <c r="G74" i="9"/>
  <c r="M74" i="9"/>
  <c r="H74" i="9"/>
  <c r="D74" i="9"/>
  <c r="J74" i="9"/>
  <c r="N74" i="9"/>
  <c r="C74" i="9"/>
  <c r="C26" i="8"/>
  <c r="C27" i="8" s="1"/>
  <c r="E39" i="5"/>
  <c r="E41" i="5" s="1"/>
  <c r="F39" i="5"/>
  <c r="G39" i="5"/>
  <c r="H39" i="5"/>
  <c r="I39" i="5"/>
  <c r="J39" i="5"/>
  <c r="K39" i="5"/>
  <c r="L39" i="5"/>
  <c r="M39" i="5"/>
  <c r="N39" i="5"/>
  <c r="O39" i="5"/>
  <c r="P39" i="5"/>
  <c r="O65" i="9"/>
  <c r="C63" i="8"/>
  <c r="C64" i="8" s="1"/>
  <c r="U105" i="8"/>
  <c r="D34" i="8" s="1"/>
  <c r="Q37" i="1"/>
  <c r="Q40" i="1" s="1"/>
  <c r="D46" i="4" s="1"/>
  <c r="E40" i="1"/>
  <c r="F40" i="1" s="1"/>
  <c r="G40" i="1" s="1"/>
  <c r="H40" i="1" s="1"/>
  <c r="I40" i="1" s="1"/>
  <c r="J40" i="1" s="1"/>
  <c r="K40" i="1" s="1"/>
  <c r="L40" i="1" s="1"/>
  <c r="M40" i="1" s="1"/>
  <c r="N40" i="1" s="1"/>
  <c r="O40" i="1" s="1"/>
  <c r="P40" i="1" s="1"/>
  <c r="E70" i="1" s="1"/>
  <c r="F70" i="1" s="1"/>
  <c r="G70" i="1" s="1"/>
  <c r="H70" i="1" s="1"/>
  <c r="I70" i="1" s="1"/>
  <c r="J70" i="1" s="1"/>
  <c r="K70" i="1" s="1"/>
  <c r="L70" i="1" s="1"/>
  <c r="M70" i="1" s="1"/>
  <c r="N70" i="1" s="1"/>
  <c r="O70" i="1" s="1"/>
  <c r="P70" i="1" s="1"/>
  <c r="E100" i="1" s="1"/>
  <c r="F100" i="1" s="1"/>
  <c r="G100" i="1" s="1"/>
  <c r="H100" i="1" s="1"/>
  <c r="I100" i="1" s="1"/>
  <c r="J100" i="1" s="1"/>
  <c r="K100" i="1" s="1"/>
  <c r="L100" i="1" s="1"/>
  <c r="M100" i="1" s="1"/>
  <c r="N100" i="1" s="1"/>
  <c r="O100" i="1" s="1"/>
  <c r="P100" i="1" s="1"/>
  <c r="U165" i="8"/>
  <c r="D54" i="8" s="1"/>
  <c r="T11" i="15"/>
  <c r="Q11" i="15" s="1"/>
  <c r="H111" i="5"/>
  <c r="L111" i="5"/>
  <c r="P111" i="5"/>
  <c r="I111" i="5"/>
  <c r="M111" i="5"/>
  <c r="F111" i="5"/>
  <c r="J111" i="5"/>
  <c r="N111" i="5"/>
  <c r="E111" i="5"/>
  <c r="G111" i="5"/>
  <c r="K111" i="5"/>
  <c r="O111" i="5"/>
  <c r="M11" i="15" l="1"/>
  <c r="L11" i="15"/>
  <c r="G51" i="6"/>
  <c r="V10" i="15"/>
  <c r="U10" i="15" s="1"/>
  <c r="M10" i="15"/>
  <c r="L10" i="15"/>
  <c r="D46" i="8"/>
  <c r="D47" i="8" s="1"/>
  <c r="E14" i="15"/>
  <c r="C14" i="15"/>
  <c r="F14" i="15" s="1"/>
  <c r="E43" i="8"/>
  <c r="E44" i="8" s="1"/>
  <c r="C33" i="8" s="1"/>
  <c r="C35" i="8" s="1"/>
  <c r="C36" i="8" s="1"/>
  <c r="U11" i="15"/>
  <c r="J12" i="15"/>
  <c r="I13" i="15" s="1"/>
  <c r="S12" i="15"/>
  <c r="D63" i="8"/>
  <c r="E63" i="8" s="1"/>
  <c r="E64" i="8" s="1"/>
  <c r="D23" i="8"/>
  <c r="D24" i="8" s="1"/>
  <c r="E16" i="9"/>
  <c r="F36" i="5"/>
  <c r="D21" i="9"/>
  <c r="F35" i="5"/>
  <c r="O74" i="9"/>
  <c r="Q94" i="5"/>
  <c r="C67" i="8"/>
  <c r="D66" i="8"/>
  <c r="B86" i="9"/>
  <c r="L83" i="9"/>
  <c r="G83" i="9"/>
  <c r="C83" i="9"/>
  <c r="K83" i="9"/>
  <c r="I83" i="9"/>
  <c r="J83" i="9"/>
  <c r="F83" i="9"/>
  <c r="E83" i="9"/>
  <c r="N83" i="9"/>
  <c r="H83" i="9"/>
  <c r="M83" i="9"/>
  <c r="D83" i="9"/>
  <c r="O14" i="15"/>
  <c r="B15" i="15"/>
  <c r="P14" i="15"/>
  <c r="D26" i="8"/>
  <c r="E43" i="5"/>
  <c r="E45" i="5" s="1"/>
  <c r="F12" i="5" s="1"/>
  <c r="D64" i="8" l="1"/>
  <c r="E46" i="8"/>
  <c r="E47" i="8" s="1"/>
  <c r="C15" i="15"/>
  <c r="F15" i="15" s="1"/>
  <c r="G14" i="15"/>
  <c r="E15" i="15"/>
  <c r="F41" i="5"/>
  <c r="F43" i="5" s="1"/>
  <c r="F45" i="5" s="1"/>
  <c r="G12" i="5" s="1"/>
  <c r="L12" i="15"/>
  <c r="T12" i="15"/>
  <c r="U12" i="15" s="1"/>
  <c r="M12" i="15"/>
  <c r="E23" i="8"/>
  <c r="E24" i="8" s="1"/>
  <c r="C13" i="8" s="1"/>
  <c r="C15" i="8" s="1"/>
  <c r="C16" i="8" s="1"/>
  <c r="E19" i="9"/>
  <c r="G36" i="5" s="1"/>
  <c r="E18" i="9"/>
  <c r="L92" i="9"/>
  <c r="G92" i="9"/>
  <c r="C92" i="9"/>
  <c r="H92" i="9"/>
  <c r="F92" i="9"/>
  <c r="I92" i="9"/>
  <c r="E92" i="9"/>
  <c r="N92" i="9"/>
  <c r="B95" i="9"/>
  <c r="J92" i="9"/>
  <c r="K92" i="9"/>
  <c r="M92" i="9"/>
  <c r="D92" i="9"/>
  <c r="C53" i="8"/>
  <c r="C55" i="8" s="1"/>
  <c r="C56" i="8" s="1"/>
  <c r="B16" i="15"/>
  <c r="O15" i="15"/>
  <c r="P15" i="15"/>
  <c r="D67" i="8"/>
  <c r="E66" i="8"/>
  <c r="E67" i="8" s="1"/>
  <c r="D33" i="8"/>
  <c r="D35" i="8" s="1"/>
  <c r="D36" i="8" s="1"/>
  <c r="K13" i="15"/>
  <c r="O83" i="9"/>
  <c r="E26" i="8"/>
  <c r="E27" i="8" s="1"/>
  <c r="D27" i="8"/>
  <c r="G15" i="15" l="1"/>
  <c r="E16" i="15"/>
  <c r="C16" i="15"/>
  <c r="F16" i="15" s="1"/>
  <c r="Q12" i="15"/>
  <c r="S13" i="15"/>
  <c r="D53" i="8"/>
  <c r="D55" i="8" s="1"/>
  <c r="D56" i="8" s="1"/>
  <c r="F16" i="9"/>
  <c r="F18" i="9" s="1"/>
  <c r="G35" i="5"/>
  <c r="G41" i="5" s="1"/>
  <c r="G43" i="5" s="1"/>
  <c r="G45" i="5" s="1"/>
  <c r="H12" i="5" s="1"/>
  <c r="E21" i="9"/>
  <c r="O92" i="9"/>
  <c r="J13" i="15"/>
  <c r="V13" i="15"/>
  <c r="D13" i="8"/>
  <c r="B104" i="9"/>
  <c r="H101" i="9"/>
  <c r="I101" i="9"/>
  <c r="N101" i="9"/>
  <c r="E101" i="9"/>
  <c r="L101" i="9"/>
  <c r="D101" i="9"/>
  <c r="J101" i="9"/>
  <c r="C101" i="9"/>
  <c r="F101" i="9"/>
  <c r="G101" i="9"/>
  <c r="K101" i="9"/>
  <c r="M101" i="9"/>
  <c r="P16" i="15"/>
  <c r="O16" i="15"/>
  <c r="B17" i="15"/>
  <c r="G16" i="15" l="1"/>
  <c r="C17" i="15"/>
  <c r="F17" i="15" s="1"/>
  <c r="E17" i="15"/>
  <c r="F19" i="9"/>
  <c r="H36" i="5" s="1"/>
  <c r="H35" i="5"/>
  <c r="O101" i="9"/>
  <c r="B113" i="9"/>
  <c r="G110" i="9"/>
  <c r="L110" i="9"/>
  <c r="C110" i="9"/>
  <c r="K110" i="9"/>
  <c r="D110" i="9"/>
  <c r="N110" i="9"/>
  <c r="H110" i="9"/>
  <c r="E110" i="9"/>
  <c r="I110" i="9"/>
  <c r="F110" i="9"/>
  <c r="J110" i="9"/>
  <c r="M110" i="9"/>
  <c r="T13" i="15"/>
  <c r="M13" i="15"/>
  <c r="I14" i="15"/>
  <c r="L13" i="15"/>
  <c r="O17" i="15"/>
  <c r="P17" i="15"/>
  <c r="B18" i="15"/>
  <c r="G17" i="15" l="1"/>
  <c r="E18" i="15"/>
  <c r="C18" i="15"/>
  <c r="F18" i="15" s="1"/>
  <c r="E19" i="15" s="1"/>
  <c r="G16" i="9"/>
  <c r="G18" i="9" s="1"/>
  <c r="F21" i="9"/>
  <c r="H41" i="5"/>
  <c r="H43" i="5" s="1"/>
  <c r="H45" i="5" s="1"/>
  <c r="I12" i="5" s="1"/>
  <c r="O110" i="9"/>
  <c r="K14" i="15"/>
  <c r="B122" i="9"/>
  <c r="F119" i="9"/>
  <c r="J119" i="9"/>
  <c r="H119" i="9"/>
  <c r="N119" i="9"/>
  <c r="D119" i="9"/>
  <c r="G119" i="9"/>
  <c r="K119" i="9"/>
  <c r="E119" i="9"/>
  <c r="C119" i="9"/>
  <c r="I119" i="9"/>
  <c r="L119" i="9"/>
  <c r="M119" i="9"/>
  <c r="O18" i="15"/>
  <c r="B19" i="15"/>
  <c r="P18" i="15"/>
  <c r="S14" i="15"/>
  <c r="U13" i="15"/>
  <c r="Q13" i="15"/>
  <c r="C19" i="15" l="1"/>
  <c r="F19" i="15" s="1"/>
  <c r="E20" i="15" s="1"/>
  <c r="G18" i="15"/>
  <c r="G19" i="9"/>
  <c r="H16" i="9" s="1"/>
  <c r="I35" i="5"/>
  <c r="J14" i="15"/>
  <c r="T14" i="15" s="1"/>
  <c r="V14" i="15"/>
  <c r="B20" i="15"/>
  <c r="O19" i="15"/>
  <c r="P19" i="15"/>
  <c r="O119" i="9"/>
  <c r="B131" i="9"/>
  <c r="G128" i="9"/>
  <c r="C128" i="9"/>
  <c r="J128" i="9"/>
  <c r="H128" i="9"/>
  <c r="N128" i="9"/>
  <c r="D128" i="9"/>
  <c r="M128" i="9"/>
  <c r="F128" i="9"/>
  <c r="E128" i="9"/>
  <c r="K128" i="9"/>
  <c r="L128" i="9"/>
  <c r="I128" i="9"/>
  <c r="G19" i="15" l="1"/>
  <c r="C20" i="15"/>
  <c r="F20" i="15" s="1"/>
  <c r="E21" i="15" s="1"/>
  <c r="G21" i="9"/>
  <c r="I36" i="5"/>
  <c r="I41" i="5" s="1"/>
  <c r="I43" i="5" s="1"/>
  <c r="I45" i="5" s="1"/>
  <c r="J12" i="5" s="1"/>
  <c r="H18" i="9"/>
  <c r="H19" i="9"/>
  <c r="J36" i="5" s="1"/>
  <c r="S15" i="15"/>
  <c r="U14" i="15"/>
  <c r="L14" i="15"/>
  <c r="M14" i="15"/>
  <c r="B140" i="9"/>
  <c r="E137" i="9"/>
  <c r="F137" i="9"/>
  <c r="N137" i="9"/>
  <c r="D137" i="9"/>
  <c r="C137" i="9"/>
  <c r="H137" i="9"/>
  <c r="J137" i="9"/>
  <c r="I137" i="9"/>
  <c r="K137" i="9"/>
  <c r="M137" i="9"/>
  <c r="L137" i="9"/>
  <c r="G137" i="9"/>
  <c r="O128" i="9"/>
  <c r="P20" i="15"/>
  <c r="O20" i="15"/>
  <c r="B21" i="15"/>
  <c r="Q14" i="15"/>
  <c r="I15" i="15"/>
  <c r="G20" i="15" l="1"/>
  <c r="C21" i="15"/>
  <c r="F21" i="15" s="1"/>
  <c r="E22" i="15" s="1"/>
  <c r="I16" i="9"/>
  <c r="H21" i="9"/>
  <c r="J35" i="5"/>
  <c r="J41" i="5" s="1"/>
  <c r="J43" i="5" s="1"/>
  <c r="J45" i="5" s="1"/>
  <c r="K12" i="5" s="1"/>
  <c r="K15" i="15"/>
  <c r="O137" i="9"/>
  <c r="O21" i="15"/>
  <c r="P21" i="15"/>
  <c r="B22" i="15"/>
  <c r="B149" i="9"/>
  <c r="K146" i="9"/>
  <c r="I146" i="9"/>
  <c r="J146" i="9"/>
  <c r="N146" i="9"/>
  <c r="F146" i="9"/>
  <c r="C146" i="9"/>
  <c r="G146" i="9"/>
  <c r="D146" i="9"/>
  <c r="L146" i="9"/>
  <c r="H146" i="9"/>
  <c r="M146" i="9"/>
  <c r="E146" i="9"/>
  <c r="C22" i="15" l="1"/>
  <c r="F22" i="15" s="1"/>
  <c r="G22" i="15" s="1"/>
  <c r="G21" i="15"/>
  <c r="I18" i="9"/>
  <c r="I19" i="9"/>
  <c r="O146" i="9"/>
  <c r="B158" i="9"/>
  <c r="H155" i="9"/>
  <c r="I155" i="9"/>
  <c r="K155" i="9"/>
  <c r="N155" i="9"/>
  <c r="D155" i="9"/>
  <c r="M155" i="9"/>
  <c r="C155" i="9"/>
  <c r="F155" i="9"/>
  <c r="J155" i="9"/>
  <c r="G155" i="9"/>
  <c r="L155" i="9"/>
  <c r="E155" i="9"/>
  <c r="O22" i="15"/>
  <c r="B23" i="15"/>
  <c r="P22" i="15"/>
  <c r="J15" i="15"/>
  <c r="M15" i="15" s="1"/>
  <c r="V15" i="15"/>
  <c r="C23" i="15" l="1"/>
  <c r="F23" i="15" s="1"/>
  <c r="E23" i="15"/>
  <c r="J16" i="9"/>
  <c r="K36" i="5"/>
  <c r="I21" i="9"/>
  <c r="K35" i="5"/>
  <c r="L15" i="15"/>
  <c r="O155" i="9"/>
  <c r="T15" i="15"/>
  <c r="I16" i="15"/>
  <c r="B24" i="15"/>
  <c r="O23" i="15"/>
  <c r="P23" i="15"/>
  <c r="D164" i="9"/>
  <c r="I164" i="9"/>
  <c r="C164" i="9"/>
  <c r="H164" i="9"/>
  <c r="B167" i="9"/>
  <c r="F164" i="9"/>
  <c r="L164" i="9"/>
  <c r="E164" i="9"/>
  <c r="J164" i="9"/>
  <c r="K164" i="9"/>
  <c r="N164" i="9"/>
  <c r="G164" i="9"/>
  <c r="M164" i="9"/>
  <c r="G23" i="15" l="1"/>
  <c r="E24" i="15"/>
  <c r="C24" i="15"/>
  <c r="F24" i="15" s="1"/>
  <c r="K41" i="5"/>
  <c r="K43" i="5" s="1"/>
  <c r="K45" i="5" s="1"/>
  <c r="L12" i="5" s="1"/>
  <c r="J18" i="9"/>
  <c r="J19" i="9"/>
  <c r="L36" i="5" s="1"/>
  <c r="P24" i="15"/>
  <c r="O24" i="15"/>
  <c r="B25" i="15"/>
  <c r="K16" i="15"/>
  <c r="O164" i="9"/>
  <c r="S16" i="15"/>
  <c r="U15" i="15"/>
  <c r="B176" i="9"/>
  <c r="H173" i="9"/>
  <c r="C173" i="9"/>
  <c r="I173" i="9"/>
  <c r="E173" i="9"/>
  <c r="M173" i="9"/>
  <c r="D173" i="9"/>
  <c r="F173" i="9"/>
  <c r="N173" i="9"/>
  <c r="L173" i="9"/>
  <c r="K173" i="9"/>
  <c r="G173" i="9"/>
  <c r="J173" i="9"/>
  <c r="Q15" i="15"/>
  <c r="G24" i="15" l="1"/>
  <c r="E25" i="15"/>
  <c r="C25" i="15"/>
  <c r="F25" i="15" s="1"/>
  <c r="E26" i="15" s="1"/>
  <c r="K16" i="9"/>
  <c r="J21" i="9"/>
  <c r="L35" i="5"/>
  <c r="L41" i="5" s="1"/>
  <c r="L43" i="5" s="1"/>
  <c r="L45" i="5" s="1"/>
  <c r="M12" i="5" s="1"/>
  <c r="O25" i="15"/>
  <c r="P25" i="15"/>
  <c r="B26" i="15"/>
  <c r="J16" i="15"/>
  <c r="L16" i="15" s="1"/>
  <c r="V16" i="15"/>
  <c r="O173" i="9"/>
  <c r="B185" i="9"/>
  <c r="N182" i="9"/>
  <c r="F182" i="9"/>
  <c r="C182" i="9"/>
  <c r="J182" i="9"/>
  <c r="I182" i="9"/>
  <c r="G182" i="9"/>
  <c r="M182" i="9"/>
  <c r="D182" i="9"/>
  <c r="K182" i="9"/>
  <c r="E182" i="9"/>
  <c r="L182" i="9"/>
  <c r="H182" i="9"/>
  <c r="C26" i="15" l="1"/>
  <c r="F26" i="15" s="1"/>
  <c r="E27" i="15" s="1"/>
  <c r="G25" i="15"/>
  <c r="K19" i="9"/>
  <c r="K18" i="9"/>
  <c r="M16" i="15"/>
  <c r="T16" i="15"/>
  <c r="U16" i="15" s="1"/>
  <c r="B194" i="9"/>
  <c r="H191" i="9"/>
  <c r="F191" i="9"/>
  <c r="C191" i="9"/>
  <c r="E191" i="9"/>
  <c r="D191" i="9"/>
  <c r="K191" i="9"/>
  <c r="M191" i="9"/>
  <c r="L191" i="9"/>
  <c r="J191" i="9"/>
  <c r="G191" i="9"/>
  <c r="I191" i="9"/>
  <c r="N191" i="9"/>
  <c r="O182" i="9"/>
  <c r="I17" i="15"/>
  <c r="O26" i="15"/>
  <c r="B27" i="15"/>
  <c r="P26" i="15"/>
  <c r="G26" i="15" l="1"/>
  <c r="C27" i="15"/>
  <c r="F27" i="15" s="1"/>
  <c r="G27" i="15" s="1"/>
  <c r="M35" i="5"/>
  <c r="K21" i="9"/>
  <c r="L16" i="9"/>
  <c r="M36" i="5"/>
  <c r="S17" i="15"/>
  <c r="Q16" i="15"/>
  <c r="O191" i="9"/>
  <c r="K17" i="15"/>
  <c r="I200" i="9"/>
  <c r="F200" i="9"/>
  <c r="J200" i="9"/>
  <c r="K200" i="9"/>
  <c r="D200" i="9"/>
  <c r="B203" i="9"/>
  <c r="M200" i="9"/>
  <c r="L200" i="9"/>
  <c r="E200" i="9"/>
  <c r="C200" i="9"/>
  <c r="H200" i="9"/>
  <c r="G200" i="9"/>
  <c r="N200" i="9"/>
  <c r="B28" i="15"/>
  <c r="O27" i="15"/>
  <c r="P27" i="15"/>
  <c r="C28" i="15" l="1"/>
  <c r="F28" i="15" s="1"/>
  <c r="E28" i="15"/>
  <c r="M41" i="5"/>
  <c r="L18" i="9"/>
  <c r="L19" i="9" s="1"/>
  <c r="M16" i="9" s="1"/>
  <c r="J17" i="15"/>
  <c r="M17" i="15" s="1"/>
  <c r="V17" i="15"/>
  <c r="O200" i="9"/>
  <c r="H209" i="9"/>
  <c r="C209" i="9"/>
  <c r="I209" i="9"/>
  <c r="J209" i="9"/>
  <c r="N209" i="9"/>
  <c r="G209" i="9"/>
  <c r="E209" i="9"/>
  <c r="F209" i="9"/>
  <c r="K209" i="9"/>
  <c r="D209" i="9"/>
  <c r="L209" i="9"/>
  <c r="M209" i="9"/>
  <c r="P28" i="15"/>
  <c r="O28" i="15"/>
  <c r="B29" i="15"/>
  <c r="G28" i="15" l="1"/>
  <c r="E29" i="15"/>
  <c r="C29" i="15"/>
  <c r="F29" i="15" s="1"/>
  <c r="E30" i="15" s="1"/>
  <c r="M43" i="5"/>
  <c r="M45" i="5" s="1"/>
  <c r="N12" i="5" s="1"/>
  <c r="M18" i="9"/>
  <c r="M19" i="9"/>
  <c r="O36" i="5" s="1"/>
  <c r="N35" i="5"/>
  <c r="L21" i="9"/>
  <c r="N36" i="5"/>
  <c r="O29" i="15"/>
  <c r="P29" i="15"/>
  <c r="B30" i="15"/>
  <c r="I18" i="15"/>
  <c r="T17" i="15"/>
  <c r="L17" i="15"/>
  <c r="O209" i="9"/>
  <c r="C30" i="15" l="1"/>
  <c r="F30" i="15" s="1"/>
  <c r="E31" i="15" s="1"/>
  <c r="G29" i="15"/>
  <c r="N41" i="5"/>
  <c r="N16" i="9"/>
  <c r="O35" i="5"/>
  <c r="O41" i="5" s="1"/>
  <c r="O43" i="5" s="1"/>
  <c r="M21" i="9"/>
  <c r="U17" i="15"/>
  <c r="S18" i="15"/>
  <c r="K18" i="15"/>
  <c r="O30" i="15"/>
  <c r="B31" i="15"/>
  <c r="P30" i="15"/>
  <c r="Q17" i="15"/>
  <c r="G30" i="15" l="1"/>
  <c r="C31" i="15"/>
  <c r="F31" i="15" s="1"/>
  <c r="G31" i="15" s="1"/>
  <c r="N18" i="9"/>
  <c r="N19" i="9"/>
  <c r="N43" i="5"/>
  <c r="N45" i="5" s="1"/>
  <c r="O12" i="5" s="1"/>
  <c r="O45" i="5" s="1"/>
  <c r="P12" i="5" s="1"/>
  <c r="J18" i="15"/>
  <c r="L18" i="15" s="1"/>
  <c r="V18" i="15"/>
  <c r="B32" i="15"/>
  <c r="O31" i="15"/>
  <c r="P31" i="15"/>
  <c r="E32" i="15" l="1"/>
  <c r="C32" i="15"/>
  <c r="F32" i="15" s="1"/>
  <c r="N21" i="9"/>
  <c r="O21" i="9" s="1"/>
  <c r="P35" i="5"/>
  <c r="O18" i="9"/>
  <c r="C25" i="9"/>
  <c r="P36" i="5"/>
  <c r="Q36" i="5" s="1"/>
  <c r="F53" i="6" s="1"/>
  <c r="O19" i="9"/>
  <c r="H39" i="4" s="1"/>
  <c r="H44" i="4" s="1"/>
  <c r="H51" i="4" s="1"/>
  <c r="T18" i="15"/>
  <c r="U18" i="15" s="1"/>
  <c r="M18" i="15"/>
  <c r="P32" i="15"/>
  <c r="O32" i="15"/>
  <c r="B33" i="15"/>
  <c r="I19" i="15"/>
  <c r="G32" i="15" l="1"/>
  <c r="C33" i="15"/>
  <c r="F33" i="15" s="1"/>
  <c r="E34" i="15" s="1"/>
  <c r="E33" i="15"/>
  <c r="C27" i="9"/>
  <c r="C28" i="9" s="1"/>
  <c r="E74" i="5" s="1"/>
  <c r="P41" i="5"/>
  <c r="Q35" i="5"/>
  <c r="F23" i="6" s="1"/>
  <c r="S19" i="15"/>
  <c r="Q18" i="15"/>
  <c r="K19" i="15"/>
  <c r="O33" i="15"/>
  <c r="P33" i="15"/>
  <c r="B34" i="15"/>
  <c r="G33" i="15" l="1"/>
  <c r="C34" i="15"/>
  <c r="F34" i="15" s="1"/>
  <c r="G34" i="15" s="1"/>
  <c r="E73" i="5"/>
  <c r="E79" i="5" s="1"/>
  <c r="E81" i="5" s="1"/>
  <c r="C30" i="9"/>
  <c r="F52" i="6"/>
  <c r="F25" i="6"/>
  <c r="G2" i="8" s="1"/>
  <c r="J2" i="8" s="1"/>
  <c r="F40" i="6"/>
  <c r="P43" i="5"/>
  <c r="P45" i="5" s="1"/>
  <c r="Q41" i="5"/>
  <c r="D25" i="9"/>
  <c r="O34" i="15"/>
  <c r="B35" i="15"/>
  <c r="P34" i="15"/>
  <c r="J19" i="15"/>
  <c r="M19" i="15" s="1"/>
  <c r="V19" i="15"/>
  <c r="E35" i="15" l="1"/>
  <c r="C35" i="15"/>
  <c r="F35" i="15" s="1"/>
  <c r="D27" i="9"/>
  <c r="D28" i="9" s="1"/>
  <c r="F74" i="5" s="1"/>
  <c r="D48" i="4"/>
  <c r="D51" i="4" s="1"/>
  <c r="D53" i="4" s="1"/>
  <c r="E50" i="5"/>
  <c r="E83" i="5" s="1"/>
  <c r="F50" i="5" s="1"/>
  <c r="L58" i="8"/>
  <c r="I16" i="8"/>
  <c r="M42" i="8"/>
  <c r="I41" i="8" s="1"/>
  <c r="L54" i="8"/>
  <c r="I6" i="8"/>
  <c r="L57" i="8"/>
  <c r="L55" i="8"/>
  <c r="L56" i="8"/>
  <c r="I11" i="8"/>
  <c r="T19" i="15"/>
  <c r="I20" i="15"/>
  <c r="B36" i="15"/>
  <c r="O35" i="15"/>
  <c r="P35" i="15"/>
  <c r="L19" i="15"/>
  <c r="G35" i="15" l="1"/>
  <c r="E36" i="15"/>
  <c r="C36" i="15"/>
  <c r="F36" i="15" s="1"/>
  <c r="E37" i="15" s="1"/>
  <c r="I36" i="8"/>
  <c r="J4" i="8" s="1"/>
  <c r="I51" i="8"/>
  <c r="F73" i="5"/>
  <c r="F79" i="5" s="1"/>
  <c r="F81" i="5" s="1"/>
  <c r="F83" i="5" s="1"/>
  <c r="G50" i="5" s="1"/>
  <c r="D30" i="9"/>
  <c r="E25" i="9"/>
  <c r="S20" i="15"/>
  <c r="U19" i="15"/>
  <c r="K20" i="15"/>
  <c r="Q19" i="15"/>
  <c r="P36" i="15"/>
  <c r="O36" i="15"/>
  <c r="B37" i="15"/>
  <c r="G36" i="15" l="1"/>
  <c r="C37" i="15"/>
  <c r="F37" i="15" s="1"/>
  <c r="G37" i="15" s="1"/>
  <c r="F28" i="6"/>
  <c r="B12" i="8"/>
  <c r="E27" i="9"/>
  <c r="E28" i="9"/>
  <c r="G74" i="5" s="1"/>
  <c r="J20" i="15"/>
  <c r="L20" i="15" s="1"/>
  <c r="V20" i="15"/>
  <c r="O37" i="15"/>
  <c r="P37" i="15"/>
  <c r="B38" i="15"/>
  <c r="C38" i="15" l="1"/>
  <c r="F38" i="15" s="1"/>
  <c r="E39" i="15" s="1"/>
  <c r="E38" i="15"/>
  <c r="F25" i="9"/>
  <c r="G73" i="5"/>
  <c r="G79" i="5" s="1"/>
  <c r="G81" i="5" s="1"/>
  <c r="G83" i="5" s="1"/>
  <c r="H50" i="5" s="1"/>
  <c r="E30" i="9"/>
  <c r="X49" i="8"/>
  <c r="U44" i="8" s="1"/>
  <c r="D14" i="8" s="1"/>
  <c r="D15" i="8" s="1"/>
  <c r="D16" i="8" s="1"/>
  <c r="L47" i="8"/>
  <c r="B20" i="8"/>
  <c r="B21" i="8" s="1"/>
  <c r="L49" i="8"/>
  <c r="L48" i="8"/>
  <c r="F29" i="6"/>
  <c r="I21" i="15"/>
  <c r="O38" i="15"/>
  <c r="B39" i="15"/>
  <c r="P38" i="15"/>
  <c r="M20" i="15"/>
  <c r="T20" i="15"/>
  <c r="C39" i="15" l="1"/>
  <c r="F39" i="15" s="1"/>
  <c r="G39" i="15" s="1"/>
  <c r="G38" i="15"/>
  <c r="F27" i="9"/>
  <c r="H73" i="5" s="1"/>
  <c r="I44" i="8"/>
  <c r="B14" i="8" s="1"/>
  <c r="C20" i="8"/>
  <c r="C21" i="8" s="1"/>
  <c r="B40" i="15"/>
  <c r="O39" i="15"/>
  <c r="P39" i="15"/>
  <c r="K21" i="15"/>
  <c r="S21" i="15"/>
  <c r="U20" i="15"/>
  <c r="Q20" i="15"/>
  <c r="F28" i="9" l="1"/>
  <c r="F30" i="9" s="1"/>
  <c r="C40" i="15"/>
  <c r="F40" i="15" s="1"/>
  <c r="E41" i="15" s="1"/>
  <c r="E40" i="15"/>
  <c r="D20" i="8"/>
  <c r="P40" i="15"/>
  <c r="O40" i="15"/>
  <c r="B41" i="15"/>
  <c r="J21" i="15"/>
  <c r="M21" i="15" s="1"/>
  <c r="V21" i="15"/>
  <c r="H74" i="5" l="1"/>
  <c r="H79" i="5" s="1"/>
  <c r="H81" i="5" s="1"/>
  <c r="H83" i="5" s="1"/>
  <c r="I50" i="5" s="1"/>
  <c r="G25" i="9"/>
  <c r="C41" i="15"/>
  <c r="F41" i="15" s="1"/>
  <c r="E42" i="15" s="1"/>
  <c r="G40" i="15"/>
  <c r="D21" i="8"/>
  <c r="E20" i="8"/>
  <c r="E21" i="8" s="1"/>
  <c r="L21" i="15"/>
  <c r="O41" i="15"/>
  <c r="P41" i="15"/>
  <c r="B42" i="15"/>
  <c r="I22" i="15"/>
  <c r="T21" i="15"/>
  <c r="G27" i="9" l="1"/>
  <c r="G28" i="9" s="1"/>
  <c r="G41" i="15"/>
  <c r="C42" i="15"/>
  <c r="F42" i="15" s="1"/>
  <c r="E43" i="15" s="1"/>
  <c r="B13" i="8"/>
  <c r="B15" i="8" s="1"/>
  <c r="B16" i="8" s="1"/>
  <c r="U21" i="15"/>
  <c r="S22" i="15"/>
  <c r="K22" i="15"/>
  <c r="Q21" i="15"/>
  <c r="O42" i="15"/>
  <c r="B43" i="15"/>
  <c r="P42" i="15"/>
  <c r="I74" i="5" l="1"/>
  <c r="H25" i="9"/>
  <c r="G30" i="9"/>
  <c r="I73" i="5"/>
  <c r="G42" i="15"/>
  <c r="C43" i="15"/>
  <c r="F43" i="15" s="1"/>
  <c r="E44" i="15" s="1"/>
  <c r="F30" i="6"/>
  <c r="Q39" i="5" s="1"/>
  <c r="J22" i="15"/>
  <c r="M22" i="15" s="1"/>
  <c r="V22" i="15"/>
  <c r="B44" i="15"/>
  <c r="O43" i="15"/>
  <c r="P43" i="15"/>
  <c r="I79" i="5" l="1"/>
  <c r="I81" i="5" s="1"/>
  <c r="I83" i="5" s="1"/>
  <c r="J50" i="5" s="1"/>
  <c r="H27" i="9"/>
  <c r="H28" i="9"/>
  <c r="J74" i="5" s="1"/>
  <c r="C44" i="15"/>
  <c r="F44" i="15" s="1"/>
  <c r="E45" i="15" s="1"/>
  <c r="G43" i="15"/>
  <c r="F31" i="6"/>
  <c r="F39" i="6" s="1"/>
  <c r="F41" i="6" s="1"/>
  <c r="F45" i="6" s="1"/>
  <c r="F49" i="6" s="1"/>
  <c r="F55" i="6" s="1"/>
  <c r="L22" i="15"/>
  <c r="I23" i="15"/>
  <c r="T22" i="15"/>
  <c r="Q22" i="15" s="1"/>
  <c r="P44" i="15"/>
  <c r="O44" i="15"/>
  <c r="B45" i="15"/>
  <c r="I25" i="9" l="1"/>
  <c r="J73" i="5"/>
  <c r="J79" i="5" s="1"/>
  <c r="J81" i="5" s="1"/>
  <c r="J83" i="5" s="1"/>
  <c r="K50" i="5" s="1"/>
  <c r="H30" i="9"/>
  <c r="C45" i="15"/>
  <c r="F45" i="15" s="1"/>
  <c r="G45" i="15" s="1"/>
  <c r="G44" i="15"/>
  <c r="F35" i="6"/>
  <c r="H35" i="4" s="1"/>
  <c r="H36" i="4" s="1"/>
  <c r="H53" i="4" s="1"/>
  <c r="D54" i="4" s="1"/>
  <c r="O45" i="15"/>
  <c r="P45" i="15"/>
  <c r="B46" i="15"/>
  <c r="U22" i="15"/>
  <c r="S23" i="15"/>
  <c r="K23" i="15"/>
  <c r="I27" i="9" l="1"/>
  <c r="I28" i="9"/>
  <c r="C46" i="15"/>
  <c r="F46" i="15" s="1"/>
  <c r="E46" i="15"/>
  <c r="J23" i="15"/>
  <c r="M23" i="15" s="1"/>
  <c r="V23" i="15"/>
  <c r="O46" i="15"/>
  <c r="B47" i="15"/>
  <c r="P46" i="15"/>
  <c r="K74" i="5" l="1"/>
  <c r="J25" i="9"/>
  <c r="K73" i="5"/>
  <c r="I30" i="9"/>
  <c r="G46" i="15"/>
  <c r="C47" i="15"/>
  <c r="F47" i="15" s="1"/>
  <c r="E48" i="15" s="1"/>
  <c r="E47" i="15"/>
  <c r="T23" i="15"/>
  <c r="S24" i="15" s="1"/>
  <c r="L23" i="15"/>
  <c r="I24" i="15"/>
  <c r="B48" i="15"/>
  <c r="O47" i="15"/>
  <c r="P47" i="15"/>
  <c r="K79" i="5" l="1"/>
  <c r="K81" i="5" s="1"/>
  <c r="K83" i="5" s="1"/>
  <c r="L50" i="5" s="1"/>
  <c r="J27" i="9"/>
  <c r="J28" i="9"/>
  <c r="C48" i="15"/>
  <c r="F48" i="15" s="1"/>
  <c r="G48" i="15" s="1"/>
  <c r="G47" i="15"/>
  <c r="U23" i="15"/>
  <c r="Q23" i="15"/>
  <c r="P48" i="15"/>
  <c r="O48" i="15"/>
  <c r="B49" i="15"/>
  <c r="K24" i="15"/>
  <c r="K25" i="9" l="1"/>
  <c r="L74" i="5"/>
  <c r="L73" i="5"/>
  <c r="J30" i="9"/>
  <c r="E49" i="15"/>
  <c r="C49" i="15"/>
  <c r="F49" i="15" s="1"/>
  <c r="E50" i="15" s="1"/>
  <c r="O49" i="15"/>
  <c r="P49" i="15"/>
  <c r="B50" i="15"/>
  <c r="J24" i="15"/>
  <c r="M24" i="15" s="1"/>
  <c r="V24" i="15"/>
  <c r="L79" i="5" l="1"/>
  <c r="L81" i="5" s="1"/>
  <c r="L83" i="5" s="1"/>
  <c r="M50" i="5" s="1"/>
  <c r="K28" i="9"/>
  <c r="M74" i="5" s="1"/>
  <c r="K27" i="9"/>
  <c r="C50" i="15"/>
  <c r="F50" i="15" s="1"/>
  <c r="G50" i="15" s="1"/>
  <c r="G49" i="15"/>
  <c r="L24" i="15"/>
  <c r="T24" i="15"/>
  <c r="Q24" i="15" s="1"/>
  <c r="I25" i="15"/>
  <c r="O50" i="15"/>
  <c r="B51" i="15"/>
  <c r="P50" i="15"/>
  <c r="L25" i="9" l="1"/>
  <c r="L27" i="9" s="1"/>
  <c r="K30" i="9"/>
  <c r="M73" i="5"/>
  <c r="M79" i="5" s="1"/>
  <c r="M81" i="5" s="1"/>
  <c r="M83" i="5" s="1"/>
  <c r="N50" i="5" s="1"/>
  <c r="C51" i="15"/>
  <c r="F51" i="15" s="1"/>
  <c r="E52" i="15" s="1"/>
  <c r="E51" i="15"/>
  <c r="B52" i="15"/>
  <c r="O51" i="15"/>
  <c r="P51" i="15"/>
  <c r="K25" i="15"/>
  <c r="U24" i="15"/>
  <c r="S25" i="15"/>
  <c r="L28" i="9" l="1"/>
  <c r="M25" i="9" s="1"/>
  <c r="N73" i="5"/>
  <c r="C52" i="15"/>
  <c r="F52" i="15" s="1"/>
  <c r="G52" i="15" s="1"/>
  <c r="G51" i="15"/>
  <c r="J25" i="15"/>
  <c r="T25" i="15" s="1"/>
  <c r="V25" i="15"/>
  <c r="P52" i="15"/>
  <c r="O52" i="15"/>
  <c r="B53" i="15"/>
  <c r="L30" i="9" l="1"/>
  <c r="N74" i="5"/>
  <c r="N79" i="5" s="1"/>
  <c r="M28" i="9"/>
  <c r="N25" i="9" s="1"/>
  <c r="M27" i="9"/>
  <c r="C53" i="15"/>
  <c r="F53" i="15" s="1"/>
  <c r="E54" i="15" s="1"/>
  <c r="E53" i="15"/>
  <c r="L25" i="15"/>
  <c r="S26" i="15"/>
  <c r="U25" i="15"/>
  <c r="O53" i="15"/>
  <c r="P53" i="15"/>
  <c r="B54" i="15"/>
  <c r="Q25" i="15"/>
  <c r="I26" i="15"/>
  <c r="M25" i="15"/>
  <c r="N28" i="9" l="1"/>
  <c r="O28" i="9" s="1"/>
  <c r="I39" i="4" s="1"/>
  <c r="I44" i="4" s="1"/>
  <c r="I51" i="4" s="1"/>
  <c r="N27" i="9"/>
  <c r="O27" i="9" s="1"/>
  <c r="O73" i="5"/>
  <c r="M30" i="9"/>
  <c r="O74" i="5"/>
  <c r="N81" i="5"/>
  <c r="N83" i="5" s="1"/>
  <c r="O50" i="5" s="1"/>
  <c r="G53" i="15"/>
  <c r="C54" i="15"/>
  <c r="F54" i="15" s="1"/>
  <c r="G54" i="15" s="1"/>
  <c r="O54" i="15"/>
  <c r="B55" i="15"/>
  <c r="P54" i="15"/>
  <c r="K26" i="15"/>
  <c r="O79" i="5" l="1"/>
  <c r="P73" i="5"/>
  <c r="N30" i="9"/>
  <c r="O30" i="9" s="1"/>
  <c r="C34" i="9"/>
  <c r="P74" i="5"/>
  <c r="Q74" i="5" s="1"/>
  <c r="G53" i="6" s="1"/>
  <c r="C55" i="15"/>
  <c r="F55" i="15" s="1"/>
  <c r="E55" i="15"/>
  <c r="B56" i="15"/>
  <c r="O55" i="15"/>
  <c r="P55" i="15"/>
  <c r="J26" i="15"/>
  <c r="V26" i="15"/>
  <c r="P79" i="5" l="1"/>
  <c r="P81" i="5" s="1"/>
  <c r="Q73" i="5"/>
  <c r="G23" i="6" s="1"/>
  <c r="C36" i="9"/>
  <c r="O81" i="5"/>
  <c r="O83" i="5" s="1"/>
  <c r="P50" i="5" s="1"/>
  <c r="G55" i="15"/>
  <c r="C56" i="15"/>
  <c r="F56" i="15" s="1"/>
  <c r="E56" i="15"/>
  <c r="P56" i="15"/>
  <c r="O56" i="15"/>
  <c r="B57" i="15"/>
  <c r="T26" i="15"/>
  <c r="Q26" i="15" s="1"/>
  <c r="L26" i="15"/>
  <c r="I27" i="15"/>
  <c r="M26" i="15"/>
  <c r="Q79" i="5" l="1"/>
  <c r="P83" i="5"/>
  <c r="E88" i="5" s="1"/>
  <c r="E48" i="4"/>
  <c r="E51" i="4" s="1"/>
  <c r="E53" i="4" s="1"/>
  <c r="E107" i="5"/>
  <c r="C37" i="9"/>
  <c r="G40" i="6"/>
  <c r="G52" i="6"/>
  <c r="G25" i="6"/>
  <c r="G63" i="8" s="1"/>
  <c r="J63" i="8" s="1"/>
  <c r="G56" i="15"/>
  <c r="E57" i="15"/>
  <c r="C57" i="15"/>
  <c r="F57" i="15" s="1"/>
  <c r="E58" i="15" s="1"/>
  <c r="K27" i="15"/>
  <c r="S27" i="15"/>
  <c r="U26" i="15"/>
  <c r="O57" i="15"/>
  <c r="P57" i="15"/>
  <c r="B58" i="15"/>
  <c r="L118" i="8" l="1"/>
  <c r="L116" i="8"/>
  <c r="L119" i="8"/>
  <c r="I67" i="8"/>
  <c r="M103" i="8"/>
  <c r="I102" i="8" s="1"/>
  <c r="I72" i="8"/>
  <c r="L115" i="8"/>
  <c r="L117" i="8"/>
  <c r="I77" i="8"/>
  <c r="E108" i="5"/>
  <c r="E113" i="5" s="1"/>
  <c r="E115" i="5" s="1"/>
  <c r="E117" i="5" s="1"/>
  <c r="F88" i="5" s="1"/>
  <c r="D34" i="9"/>
  <c r="C39" i="9"/>
  <c r="C58" i="15"/>
  <c r="F58" i="15" s="1"/>
  <c r="E59" i="15" s="1"/>
  <c r="G57" i="15"/>
  <c r="J27" i="15"/>
  <c r="M27" i="15" s="1"/>
  <c r="V27" i="15"/>
  <c r="O58" i="15"/>
  <c r="B59" i="15"/>
  <c r="P58" i="15"/>
  <c r="I112" i="8" l="1"/>
  <c r="I97" i="8"/>
  <c r="J65" i="8" s="1"/>
  <c r="D36" i="9"/>
  <c r="D37" i="9" s="1"/>
  <c r="F108" i="5" s="1"/>
  <c r="C59" i="15"/>
  <c r="F59" i="15" s="1"/>
  <c r="E60" i="15" s="1"/>
  <c r="G58" i="15"/>
  <c r="T27" i="15"/>
  <c r="U27" i="15" s="1"/>
  <c r="L27" i="15"/>
  <c r="I28" i="15"/>
  <c r="B60" i="15"/>
  <c r="O59" i="15"/>
  <c r="P59" i="15"/>
  <c r="G28" i="6" l="1"/>
  <c r="B32" i="8"/>
  <c r="E34" i="9"/>
  <c r="F107" i="5"/>
  <c r="F113" i="5" s="1"/>
  <c r="F115" i="5" s="1"/>
  <c r="F117" i="5" s="1"/>
  <c r="G88" i="5" s="1"/>
  <c r="D39" i="9"/>
  <c r="L108" i="8"/>
  <c r="G29" i="6"/>
  <c r="L109" i="8"/>
  <c r="B40" i="8"/>
  <c r="B41" i="8" s="1"/>
  <c r="L110" i="8"/>
  <c r="C60" i="15"/>
  <c r="F60" i="15" s="1"/>
  <c r="E61" i="15" s="1"/>
  <c r="G59" i="15"/>
  <c r="Q27" i="15"/>
  <c r="S28" i="15"/>
  <c r="K28" i="15"/>
  <c r="P60" i="15"/>
  <c r="O60" i="15"/>
  <c r="B61" i="15"/>
  <c r="I105" i="8" l="1"/>
  <c r="B34" i="8" s="1"/>
  <c r="C40" i="8"/>
  <c r="C41" i="8" s="1"/>
  <c r="E36" i="9"/>
  <c r="E37" i="9"/>
  <c r="G108" i="5" s="1"/>
  <c r="C61" i="15"/>
  <c r="F61" i="15" s="1"/>
  <c r="E62" i="15" s="1"/>
  <c r="G60" i="15"/>
  <c r="O61" i="15"/>
  <c r="P61" i="15"/>
  <c r="B62" i="15"/>
  <c r="J28" i="15"/>
  <c r="M28" i="15" s="1"/>
  <c r="V28" i="15"/>
  <c r="D40" i="8" l="1"/>
  <c r="E40" i="8" s="1"/>
  <c r="E41" i="8" s="1"/>
  <c r="F34" i="9"/>
  <c r="G107" i="5"/>
  <c r="G113" i="5" s="1"/>
  <c r="G115" i="5" s="1"/>
  <c r="G117" i="5" s="1"/>
  <c r="H88" i="5" s="1"/>
  <c r="E39" i="9"/>
  <c r="G61" i="15"/>
  <c r="C62" i="15"/>
  <c r="F62" i="15" s="1"/>
  <c r="E63" i="15" s="1"/>
  <c r="L28" i="15"/>
  <c r="O62" i="15"/>
  <c r="B63" i="15"/>
  <c r="P62" i="15"/>
  <c r="T28" i="15"/>
  <c r="I29" i="15"/>
  <c r="D41" i="8" l="1"/>
  <c r="B33" i="8" s="1"/>
  <c r="B35" i="8" s="1"/>
  <c r="F37" i="9"/>
  <c r="H108" i="5" s="1"/>
  <c r="F36" i="9"/>
  <c r="C63" i="15"/>
  <c r="F63" i="15" s="1"/>
  <c r="G63" i="15" s="1"/>
  <c r="G62" i="15"/>
  <c r="U28" i="15"/>
  <c r="S29" i="15"/>
  <c r="B64" i="15"/>
  <c r="O63" i="15"/>
  <c r="P63" i="15"/>
  <c r="K29" i="15"/>
  <c r="Q28" i="15"/>
  <c r="B36" i="8" l="1"/>
  <c r="G30" i="6"/>
  <c r="H107" i="5"/>
  <c r="H113" i="5" s="1"/>
  <c r="H115" i="5" s="1"/>
  <c r="H117" i="5" s="1"/>
  <c r="I88" i="5" s="1"/>
  <c r="F39" i="9"/>
  <c r="G34" i="9"/>
  <c r="E64" i="15"/>
  <c r="C64" i="15"/>
  <c r="F64" i="15" s="1"/>
  <c r="E65" i="15" s="1"/>
  <c r="P64" i="15"/>
  <c r="O64" i="15"/>
  <c r="B65" i="15"/>
  <c r="J29" i="15"/>
  <c r="V29" i="15"/>
  <c r="G31" i="6" l="1"/>
  <c r="Q77" i="5"/>
  <c r="G36" i="9"/>
  <c r="G37" i="9" s="1"/>
  <c r="I108" i="5" s="1"/>
  <c r="G64" i="15"/>
  <c r="C65" i="15"/>
  <c r="F65" i="15" s="1"/>
  <c r="G65" i="15" s="1"/>
  <c r="I30" i="15"/>
  <c r="L29" i="15"/>
  <c r="T29" i="15"/>
  <c r="O65" i="15"/>
  <c r="P65" i="15"/>
  <c r="B66" i="15"/>
  <c r="M29" i="15"/>
  <c r="G35" i="6" l="1"/>
  <c r="I35" i="4" s="1"/>
  <c r="I36" i="4" s="1"/>
  <c r="I53" i="4" s="1"/>
  <c r="E54" i="4" s="1"/>
  <c r="G39" i="6"/>
  <c r="G41" i="6" s="1"/>
  <c r="G45" i="6" s="1"/>
  <c r="G49" i="6" s="1"/>
  <c r="G55" i="6" s="1"/>
  <c r="H34" i="9"/>
  <c r="G39" i="9"/>
  <c r="I107" i="5"/>
  <c r="I113" i="5" s="1"/>
  <c r="I115" i="5" s="1"/>
  <c r="I117" i="5" s="1"/>
  <c r="J88" i="5" s="1"/>
  <c r="C66" i="15"/>
  <c r="F66" i="15" s="1"/>
  <c r="E66" i="15"/>
  <c r="K30" i="15"/>
  <c r="S30" i="15"/>
  <c r="U29" i="15"/>
  <c r="Q29" i="15"/>
  <c r="O66" i="15"/>
  <c r="B67" i="15"/>
  <c r="P66" i="15"/>
  <c r="H36" i="9" l="1"/>
  <c r="H37" i="9" s="1"/>
  <c r="J108" i="5" s="1"/>
  <c r="G66" i="15"/>
  <c r="C67" i="15"/>
  <c r="F67" i="15" s="1"/>
  <c r="E67" i="15"/>
  <c r="B68" i="15"/>
  <c r="O67" i="15"/>
  <c r="P67" i="15"/>
  <c r="J30" i="15"/>
  <c r="L30" i="15" s="1"/>
  <c r="V30" i="15"/>
  <c r="I34" i="9" l="1"/>
  <c r="J107" i="5"/>
  <c r="J113" i="5" s="1"/>
  <c r="J115" i="5" s="1"/>
  <c r="J117" i="5" s="1"/>
  <c r="K88" i="5" s="1"/>
  <c r="H39" i="9"/>
  <c r="G67" i="15"/>
  <c r="E68" i="15"/>
  <c r="C68" i="15"/>
  <c r="F68" i="15" s="1"/>
  <c r="M30" i="15"/>
  <c r="P68" i="15"/>
  <c r="O68" i="15"/>
  <c r="B69" i="15"/>
  <c r="I31" i="15"/>
  <c r="T30" i="15"/>
  <c r="I36" i="9" l="1"/>
  <c r="I37" i="9"/>
  <c r="K108" i="5" s="1"/>
  <c r="G68" i="15"/>
  <c r="C69" i="15"/>
  <c r="F69" i="15" s="1"/>
  <c r="E69" i="15"/>
  <c r="S31" i="15"/>
  <c r="U30" i="15"/>
  <c r="K31" i="15"/>
  <c r="Q30" i="15"/>
  <c r="O69" i="15"/>
  <c r="F70" i="15"/>
  <c r="C70" i="15"/>
  <c r="P69" i="15"/>
  <c r="E70" i="15"/>
  <c r="I70" i="15"/>
  <c r="K70" i="15"/>
  <c r="G70" i="15"/>
  <c r="J70" i="15"/>
  <c r="B70" i="15"/>
  <c r="J34" i="9" l="1"/>
  <c r="K107" i="5"/>
  <c r="K113" i="5" s="1"/>
  <c r="K115" i="5" s="1"/>
  <c r="K117" i="5" s="1"/>
  <c r="L88" i="5" s="1"/>
  <c r="I39" i="9"/>
  <c r="G69" i="15"/>
  <c r="J31" i="15"/>
  <c r="L31" i="15" s="1"/>
  <c r="V31" i="15"/>
  <c r="P70" i="15"/>
  <c r="E71" i="15"/>
  <c r="C71" i="15"/>
  <c r="J71" i="15"/>
  <c r="G71" i="15"/>
  <c r="V70" i="15"/>
  <c r="F71" i="15"/>
  <c r="B71" i="15"/>
  <c r="O70" i="15"/>
  <c r="I71" i="15"/>
  <c r="K71" i="15"/>
  <c r="Q70" i="15"/>
  <c r="S70" i="15"/>
  <c r="J36" i="9" l="1"/>
  <c r="J37" i="9" s="1"/>
  <c r="L108" i="5" s="1"/>
  <c r="M31" i="15"/>
  <c r="I32" i="15"/>
  <c r="T31" i="15"/>
  <c r="Q31" i="15" s="1"/>
  <c r="T70" i="15"/>
  <c r="M70" i="15"/>
  <c r="U70" i="15"/>
  <c r="L70" i="15"/>
  <c r="J72" i="15"/>
  <c r="G72" i="15"/>
  <c r="V71" i="15"/>
  <c r="F72" i="15"/>
  <c r="B72" i="15"/>
  <c r="K72" i="15"/>
  <c r="P71" i="15"/>
  <c r="C72" i="15"/>
  <c r="I72" i="15"/>
  <c r="O71" i="15"/>
  <c r="E72" i="15"/>
  <c r="S71" i="15"/>
  <c r="Q71" i="15"/>
  <c r="K34" i="9" l="1"/>
  <c r="J39" i="9"/>
  <c r="L107" i="5"/>
  <c r="L113" i="5" s="1"/>
  <c r="L115" i="5" s="1"/>
  <c r="L117" i="5" s="1"/>
  <c r="M88" i="5" s="1"/>
  <c r="O72" i="15"/>
  <c r="K73" i="15"/>
  <c r="B73" i="15"/>
  <c r="P72" i="15"/>
  <c r="J73" i="15"/>
  <c r="I73" i="15"/>
  <c r="V72" i="15"/>
  <c r="E73" i="15"/>
  <c r="C73" i="15"/>
  <c r="G73" i="15"/>
  <c r="F73" i="15"/>
  <c r="Q72" i="15"/>
  <c r="S72" i="15"/>
  <c r="S32" i="15"/>
  <c r="U31" i="15"/>
  <c r="L71" i="15"/>
  <c r="U71" i="15"/>
  <c r="M71" i="15"/>
  <c r="T71" i="15"/>
  <c r="K32" i="15"/>
  <c r="K37" i="9" l="1"/>
  <c r="L34" i="9" s="1"/>
  <c r="K36" i="9"/>
  <c r="J32" i="15"/>
  <c r="M32" i="15" s="1"/>
  <c r="V32" i="15"/>
  <c r="M72" i="15"/>
  <c r="U72" i="15"/>
  <c r="T72" i="15"/>
  <c r="L72" i="15"/>
  <c r="O73" i="15"/>
  <c r="F74" i="15"/>
  <c r="C74" i="15"/>
  <c r="V73" i="15"/>
  <c r="E74" i="15"/>
  <c r="I74" i="15"/>
  <c r="K74" i="15"/>
  <c r="G74" i="15"/>
  <c r="J74" i="15"/>
  <c r="P73" i="15"/>
  <c r="B74" i="15"/>
  <c r="Q73" i="15"/>
  <c r="S73" i="15"/>
  <c r="L36" i="9" l="1"/>
  <c r="L37" i="9"/>
  <c r="N108" i="5" s="1"/>
  <c r="K39" i="9"/>
  <c r="M107" i="5"/>
  <c r="M108" i="5"/>
  <c r="L32" i="15"/>
  <c r="T32" i="15"/>
  <c r="U32" i="15" s="1"/>
  <c r="T73" i="15"/>
  <c r="U73" i="15"/>
  <c r="L73" i="15"/>
  <c r="M73" i="15"/>
  <c r="P74" i="15"/>
  <c r="E75" i="15"/>
  <c r="C75" i="15"/>
  <c r="O74" i="15"/>
  <c r="G75" i="15"/>
  <c r="V74" i="15"/>
  <c r="J75" i="15"/>
  <c r="B75" i="15"/>
  <c r="I75" i="15"/>
  <c r="F75" i="15"/>
  <c r="K75" i="15"/>
  <c r="S74" i="15"/>
  <c r="Q74" i="15"/>
  <c r="I33" i="15"/>
  <c r="M113" i="5" l="1"/>
  <c r="L39" i="9"/>
  <c r="N107" i="5"/>
  <c r="N113" i="5" s="1"/>
  <c r="N115" i="5" s="1"/>
  <c r="M34" i="9"/>
  <c r="Q32" i="15"/>
  <c r="S33" i="15"/>
  <c r="M74" i="15"/>
  <c r="T74" i="15"/>
  <c r="U74" i="15"/>
  <c r="L74" i="15"/>
  <c r="J76" i="15"/>
  <c r="G76" i="15"/>
  <c r="V75" i="15"/>
  <c r="P75" i="15"/>
  <c r="B76" i="15"/>
  <c r="K76" i="15"/>
  <c r="F76" i="15"/>
  <c r="C76" i="15"/>
  <c r="O75" i="15"/>
  <c r="E76" i="15"/>
  <c r="I76" i="15"/>
  <c r="S75" i="15"/>
  <c r="Q75" i="15"/>
  <c r="K33" i="15"/>
  <c r="M37" i="9" l="1"/>
  <c r="N34" i="9" s="1"/>
  <c r="M36" i="9"/>
  <c r="M115" i="5"/>
  <c r="M117" i="5" s="1"/>
  <c r="N88" i="5" s="1"/>
  <c r="N117" i="5" s="1"/>
  <c r="O88" i="5" s="1"/>
  <c r="O76" i="15"/>
  <c r="V76" i="15"/>
  <c r="B77" i="15"/>
  <c r="P76" i="15"/>
  <c r="J77" i="15"/>
  <c r="I77" i="15"/>
  <c r="K77" i="15"/>
  <c r="E77" i="15"/>
  <c r="C77" i="15"/>
  <c r="F77" i="15"/>
  <c r="G77" i="15"/>
  <c r="S76" i="15"/>
  <c r="Q76" i="15"/>
  <c r="J33" i="15"/>
  <c r="V33" i="15"/>
  <c r="L75" i="15"/>
  <c r="T75" i="15"/>
  <c r="U75" i="15"/>
  <c r="M75" i="15"/>
  <c r="N37" i="9" l="1"/>
  <c r="P108" i="5" s="1"/>
  <c r="N36" i="9"/>
  <c r="O36" i="9" s="1"/>
  <c r="O107" i="5"/>
  <c r="M39" i="9"/>
  <c r="O108" i="5"/>
  <c r="O77" i="15"/>
  <c r="F78" i="15"/>
  <c r="C78" i="15"/>
  <c r="V77" i="15"/>
  <c r="E78" i="15"/>
  <c r="I78" i="15"/>
  <c r="K78" i="15"/>
  <c r="G78" i="15"/>
  <c r="B78" i="15"/>
  <c r="P77" i="15"/>
  <c r="J78" i="15"/>
  <c r="Q77" i="15"/>
  <c r="S77" i="15"/>
  <c r="T76" i="15"/>
  <c r="L76" i="15"/>
  <c r="M76" i="15"/>
  <c r="U76" i="15"/>
  <c r="M33" i="15"/>
  <c r="T33" i="15"/>
  <c r="Q33" i="15" s="1"/>
  <c r="I34" i="15"/>
  <c r="L33" i="15"/>
  <c r="Q108" i="5" l="1"/>
  <c r="H53" i="6" s="1"/>
  <c r="O37" i="9"/>
  <c r="O113" i="5"/>
  <c r="C43" i="9"/>
  <c r="N39" i="9"/>
  <c r="O39" i="9" s="1"/>
  <c r="P107" i="5"/>
  <c r="P113" i="5" s="1"/>
  <c r="P115" i="5" s="1"/>
  <c r="P78" i="15"/>
  <c r="E79" i="15"/>
  <c r="C79" i="15"/>
  <c r="J79" i="15"/>
  <c r="G79" i="15"/>
  <c r="V78" i="15"/>
  <c r="F79" i="15"/>
  <c r="B79" i="15"/>
  <c r="O78" i="15"/>
  <c r="I79" i="15"/>
  <c r="K79" i="15"/>
  <c r="S78" i="15"/>
  <c r="Q78" i="15"/>
  <c r="M77" i="15"/>
  <c r="L77" i="15"/>
  <c r="U77" i="15"/>
  <c r="T77" i="15"/>
  <c r="K34" i="15"/>
  <c r="S34" i="15"/>
  <c r="U33" i="15"/>
  <c r="C45" i="9" l="1"/>
  <c r="C46" i="9"/>
  <c r="D43" i="9" s="1"/>
  <c r="Q107" i="5"/>
  <c r="H23" i="6" s="1"/>
  <c r="O115" i="5"/>
  <c r="O117" i="5" s="1"/>
  <c r="P88" i="5" s="1"/>
  <c r="P117" i="5" s="1"/>
  <c r="Q113" i="5"/>
  <c r="T78" i="15"/>
  <c r="M78" i="15"/>
  <c r="U78" i="15"/>
  <c r="L78" i="15"/>
  <c r="P79" i="15"/>
  <c r="G80" i="15"/>
  <c r="V79" i="15"/>
  <c r="J80" i="15"/>
  <c r="B80" i="15"/>
  <c r="K80" i="15"/>
  <c r="F80" i="15"/>
  <c r="C80" i="15"/>
  <c r="O79" i="15"/>
  <c r="E80" i="15"/>
  <c r="I80" i="15"/>
  <c r="S79" i="15"/>
  <c r="Q79" i="15"/>
  <c r="J34" i="15"/>
  <c r="M34" i="15" s="1"/>
  <c r="V34" i="15"/>
  <c r="H25" i="6" l="1"/>
  <c r="G123" i="8" s="1"/>
  <c r="J123" i="8" s="1"/>
  <c r="H40" i="6"/>
  <c r="H52" i="6"/>
  <c r="D45" i="9"/>
  <c r="D46" i="9"/>
  <c r="E43" i="9" s="1"/>
  <c r="C48" i="9"/>
  <c r="T34" i="15"/>
  <c r="U34" i="15" s="1"/>
  <c r="L34" i="15"/>
  <c r="T79" i="15"/>
  <c r="M79" i="15"/>
  <c r="L79" i="15"/>
  <c r="U79" i="15"/>
  <c r="O80" i="15"/>
  <c r="J81" i="15"/>
  <c r="B81" i="15"/>
  <c r="P80" i="15"/>
  <c r="F81" i="15"/>
  <c r="C81" i="15"/>
  <c r="K81" i="15"/>
  <c r="E81" i="15"/>
  <c r="I81" i="15"/>
  <c r="G81" i="15"/>
  <c r="V80" i="15"/>
  <c r="Q80" i="15"/>
  <c r="S80" i="15"/>
  <c r="I35" i="15"/>
  <c r="E45" i="9" l="1"/>
  <c r="E46" i="9" s="1"/>
  <c r="F43" i="9" s="1"/>
  <c r="D48" i="9"/>
  <c r="L175" i="8"/>
  <c r="I127" i="8"/>
  <c r="L179" i="8"/>
  <c r="I132" i="8"/>
  <c r="M163" i="8"/>
  <c r="I162" i="8" s="1"/>
  <c r="I137" i="8"/>
  <c r="L178" i="8"/>
  <c r="L177" i="8"/>
  <c r="L176" i="8"/>
  <c r="Q34" i="15"/>
  <c r="S35" i="15"/>
  <c r="O81" i="15"/>
  <c r="F82" i="15"/>
  <c r="C82" i="15"/>
  <c r="V81" i="15"/>
  <c r="E82" i="15"/>
  <c r="I82" i="15"/>
  <c r="K82" i="15"/>
  <c r="G82" i="15"/>
  <c r="P81" i="15"/>
  <c r="J82" i="15"/>
  <c r="B82" i="15"/>
  <c r="Q81" i="15"/>
  <c r="S81" i="15"/>
  <c r="K35" i="15"/>
  <c r="L80" i="15"/>
  <c r="M80" i="15"/>
  <c r="T80" i="15"/>
  <c r="U80" i="15"/>
  <c r="I157" i="8" l="1"/>
  <c r="J125" i="8" s="1"/>
  <c r="H28" i="6" s="1"/>
  <c r="I172" i="8"/>
  <c r="F45" i="9"/>
  <c r="F46" i="9" s="1"/>
  <c r="G43" i="9" s="1"/>
  <c r="E48" i="9"/>
  <c r="P82" i="15"/>
  <c r="E83" i="15"/>
  <c r="J83" i="15"/>
  <c r="G83" i="15"/>
  <c r="V82" i="15"/>
  <c r="B83" i="15"/>
  <c r="K83" i="15"/>
  <c r="C83" i="15"/>
  <c r="F83" i="15"/>
  <c r="O82" i="15"/>
  <c r="I83" i="15"/>
  <c r="S82" i="15"/>
  <c r="Q82" i="15"/>
  <c r="J35" i="15"/>
  <c r="V35" i="15"/>
  <c r="T81" i="15"/>
  <c r="L81" i="15"/>
  <c r="U81" i="15"/>
  <c r="M81" i="15"/>
  <c r="B52" i="8" l="1"/>
  <c r="B60" i="8" s="1"/>
  <c r="B61" i="8" s="1"/>
  <c r="F48" i="9"/>
  <c r="G45" i="9"/>
  <c r="G46" i="9"/>
  <c r="H43" i="9" s="1"/>
  <c r="T35" i="15"/>
  <c r="Q35" i="15" s="1"/>
  <c r="I36" i="15"/>
  <c r="K84" i="15"/>
  <c r="F84" i="15"/>
  <c r="C84" i="15"/>
  <c r="J84" i="15"/>
  <c r="I84" i="15"/>
  <c r="V83" i="15"/>
  <c r="E84" i="15"/>
  <c r="O83" i="15"/>
  <c r="P83" i="15"/>
  <c r="G84" i="15"/>
  <c r="B84" i="15"/>
  <c r="Q83" i="15"/>
  <c r="S83" i="15"/>
  <c r="M35" i="15"/>
  <c r="T82" i="15"/>
  <c r="U82" i="15"/>
  <c r="L82" i="15"/>
  <c r="M82" i="15"/>
  <c r="L35" i="15"/>
  <c r="L168" i="8" l="1"/>
  <c r="L169" i="8"/>
  <c r="H29" i="6"/>
  <c r="L170" i="8"/>
  <c r="H45" i="9"/>
  <c r="H46" i="9" s="1"/>
  <c r="I43" i="9" s="1"/>
  <c r="C60" i="8"/>
  <c r="G48" i="9"/>
  <c r="U83" i="15"/>
  <c r="L83" i="15"/>
  <c r="T83" i="15"/>
  <c r="M83" i="15"/>
  <c r="K36" i="15"/>
  <c r="V84" i="15"/>
  <c r="E85" i="15"/>
  <c r="C85" i="15"/>
  <c r="F85" i="15"/>
  <c r="I85" i="15"/>
  <c r="O84" i="15"/>
  <c r="J85" i="15"/>
  <c r="P84" i="15"/>
  <c r="K85" i="15"/>
  <c r="G85" i="15"/>
  <c r="B85" i="15"/>
  <c r="Q84" i="15"/>
  <c r="S84" i="15"/>
  <c r="S36" i="15"/>
  <c r="U35" i="15"/>
  <c r="I165" i="8" l="1"/>
  <c r="B54" i="8" s="1"/>
  <c r="H48" i="9"/>
  <c r="C61" i="8"/>
  <c r="D60" i="8"/>
  <c r="I45" i="9"/>
  <c r="I46" i="9"/>
  <c r="J43" i="9" s="1"/>
  <c r="J36" i="15"/>
  <c r="V36" i="15"/>
  <c r="T84" i="15"/>
  <c r="L84" i="15"/>
  <c r="U84" i="15"/>
  <c r="M84" i="15"/>
  <c r="K86" i="15"/>
  <c r="G86" i="15"/>
  <c r="J86" i="15"/>
  <c r="C86" i="15"/>
  <c r="P85" i="15"/>
  <c r="F86" i="15"/>
  <c r="I86" i="15"/>
  <c r="O85" i="15"/>
  <c r="V85" i="15"/>
  <c r="E86" i="15"/>
  <c r="B86" i="15"/>
  <c r="S85" i="15"/>
  <c r="Q85" i="15"/>
  <c r="J45" i="9" l="1"/>
  <c r="J46" i="9" s="1"/>
  <c r="K43" i="9" s="1"/>
  <c r="I48" i="9"/>
  <c r="E60" i="8"/>
  <c r="E61" i="8" s="1"/>
  <c r="D61" i="8"/>
  <c r="I37" i="15"/>
  <c r="L36" i="15"/>
  <c r="M85" i="15"/>
  <c r="T85" i="15"/>
  <c r="L85" i="15"/>
  <c r="U85" i="15"/>
  <c r="V86" i="15"/>
  <c r="F87" i="15"/>
  <c r="B87" i="15"/>
  <c r="J87" i="15"/>
  <c r="I87" i="15"/>
  <c r="O86" i="15"/>
  <c r="C87" i="15"/>
  <c r="K87" i="15"/>
  <c r="P86" i="15"/>
  <c r="E87" i="15"/>
  <c r="G87" i="15"/>
  <c r="S86" i="15"/>
  <c r="Q86" i="15"/>
  <c r="T36" i="15"/>
  <c r="M36" i="15"/>
  <c r="B53" i="8" l="1"/>
  <c r="B55" i="8" s="1"/>
  <c r="K45" i="9"/>
  <c r="K46" i="9" s="1"/>
  <c r="L43" i="9" s="1"/>
  <c r="J48" i="9"/>
  <c r="U36" i="15"/>
  <c r="S37" i="15"/>
  <c r="T86" i="15"/>
  <c r="U86" i="15"/>
  <c r="L86" i="15"/>
  <c r="M86" i="15"/>
  <c r="K88" i="15"/>
  <c r="P87" i="15"/>
  <c r="C88" i="15"/>
  <c r="J88" i="15"/>
  <c r="B88" i="15"/>
  <c r="F88" i="15"/>
  <c r="I88" i="15"/>
  <c r="V87" i="15"/>
  <c r="O87" i="15"/>
  <c r="E88" i="15"/>
  <c r="G88" i="15"/>
  <c r="S87" i="15"/>
  <c r="Q87" i="15"/>
  <c r="K37" i="15"/>
  <c r="Q36" i="15"/>
  <c r="B56" i="8" l="1"/>
  <c r="H30" i="6"/>
  <c r="L45" i="9"/>
  <c r="L46" i="9" s="1"/>
  <c r="M43" i="9" s="1"/>
  <c r="K48" i="9"/>
  <c r="V88" i="15"/>
  <c r="E89" i="15"/>
  <c r="C89" i="15"/>
  <c r="J89" i="15"/>
  <c r="B89" i="15"/>
  <c r="F89" i="15"/>
  <c r="I89" i="15"/>
  <c r="O88" i="15"/>
  <c r="P88" i="15"/>
  <c r="K89" i="15"/>
  <c r="G89" i="15"/>
  <c r="S88" i="15"/>
  <c r="Q88" i="15"/>
  <c r="L87" i="15"/>
  <c r="U87" i="15"/>
  <c r="M87" i="15"/>
  <c r="T87" i="15"/>
  <c r="J37" i="15"/>
  <c r="T37" i="15" s="1"/>
  <c r="V37" i="15"/>
  <c r="H31" i="6" l="1"/>
  <c r="Q111" i="5"/>
  <c r="M46" i="9"/>
  <c r="N43" i="9" s="1"/>
  <c r="M45" i="9"/>
  <c r="L48" i="9"/>
  <c r="U37" i="15"/>
  <c r="Q37" i="15"/>
  <c r="I38" i="15"/>
  <c r="T88" i="15"/>
  <c r="M88" i="15"/>
  <c r="U88" i="15"/>
  <c r="L88" i="15"/>
  <c r="L37" i="15"/>
  <c r="S38" i="15"/>
  <c r="M37" i="15"/>
  <c r="K90" i="15"/>
  <c r="G90" i="15"/>
  <c r="V89" i="15"/>
  <c r="B90" i="15"/>
  <c r="J90" i="15"/>
  <c r="C90" i="15"/>
  <c r="P89" i="15"/>
  <c r="I90" i="15"/>
  <c r="O89" i="15"/>
  <c r="F90" i="15"/>
  <c r="E90" i="15"/>
  <c r="S89" i="15"/>
  <c r="Q89" i="15"/>
  <c r="H35" i="6" l="1"/>
  <c r="H39" i="6"/>
  <c r="H41" i="6" s="1"/>
  <c r="H45" i="6" s="1"/>
  <c r="H49" i="6" s="1"/>
  <c r="H55" i="6" s="1"/>
  <c r="M48" i="9"/>
  <c r="N46" i="9"/>
  <c r="O46" i="9" s="1"/>
  <c r="N45" i="9"/>
  <c r="L89" i="15"/>
  <c r="M89" i="15"/>
  <c r="T89" i="15"/>
  <c r="U89" i="15"/>
  <c r="V90" i="15"/>
  <c r="J91" i="15"/>
  <c r="B91" i="15"/>
  <c r="P90" i="15"/>
  <c r="G91" i="15"/>
  <c r="O90" i="15"/>
  <c r="I91" i="15"/>
  <c r="C91" i="15"/>
  <c r="K91" i="15"/>
  <c r="F91" i="15"/>
  <c r="E91" i="15"/>
  <c r="S90" i="15"/>
  <c r="Q90" i="15"/>
  <c r="K38" i="15"/>
  <c r="C52" i="9" l="1"/>
  <c r="N48" i="9"/>
  <c r="O48" i="9" s="1"/>
  <c r="O45" i="9"/>
  <c r="T90" i="15"/>
  <c r="M90" i="15"/>
  <c r="L90" i="15"/>
  <c r="U90" i="15"/>
  <c r="K92" i="15"/>
  <c r="F92" i="15"/>
  <c r="C92" i="15"/>
  <c r="O91" i="15"/>
  <c r="G92" i="15"/>
  <c r="J92" i="15"/>
  <c r="B92" i="15"/>
  <c r="I92" i="15"/>
  <c r="V91" i="15"/>
  <c r="P91" i="15"/>
  <c r="E92" i="15"/>
  <c r="S91" i="15"/>
  <c r="Q91" i="15"/>
  <c r="J38" i="15"/>
  <c r="V38" i="15"/>
  <c r="C54" i="9" l="1"/>
  <c r="I39" i="15"/>
  <c r="T38" i="15"/>
  <c r="M91" i="15"/>
  <c r="L91" i="15"/>
  <c r="T91" i="15"/>
  <c r="U91" i="15"/>
  <c r="K93" i="15"/>
  <c r="E93" i="15"/>
  <c r="C93" i="15"/>
  <c r="P92" i="15"/>
  <c r="G93" i="15"/>
  <c r="F93" i="15"/>
  <c r="B93" i="15"/>
  <c r="I93" i="15"/>
  <c r="O92" i="15"/>
  <c r="V92" i="15"/>
  <c r="J93" i="15"/>
  <c r="Q92" i="15"/>
  <c r="S92" i="15"/>
  <c r="L38" i="15"/>
  <c r="M38" i="15"/>
  <c r="C55" i="9" l="1"/>
  <c r="D52" i="9" s="1"/>
  <c r="S39" i="15"/>
  <c r="U38" i="15"/>
  <c r="U92" i="15"/>
  <c r="M92" i="15"/>
  <c r="T92" i="15"/>
  <c r="L92" i="15"/>
  <c r="K39" i="15"/>
  <c r="K94" i="15"/>
  <c r="G94" i="15"/>
  <c r="O93" i="15"/>
  <c r="E94" i="15"/>
  <c r="V93" i="15"/>
  <c r="B94" i="15"/>
  <c r="C94" i="15"/>
  <c r="P93" i="15"/>
  <c r="I94" i="15"/>
  <c r="J94" i="15"/>
  <c r="F94" i="15"/>
  <c r="S93" i="15"/>
  <c r="Q93" i="15"/>
  <c r="Q38" i="15"/>
  <c r="D54" i="9" l="1"/>
  <c r="D55" i="9" s="1"/>
  <c r="E52" i="9" s="1"/>
  <c r="C57" i="9"/>
  <c r="M93" i="15"/>
  <c r="L93" i="15"/>
  <c r="T93" i="15"/>
  <c r="U93" i="15"/>
  <c r="J39" i="15"/>
  <c r="M39" i="15" s="1"/>
  <c r="V39" i="15"/>
  <c r="V94" i="15"/>
  <c r="F95" i="15"/>
  <c r="B95" i="15"/>
  <c r="K95" i="15"/>
  <c r="E95" i="15"/>
  <c r="P94" i="15"/>
  <c r="G95" i="15"/>
  <c r="I95" i="15"/>
  <c r="C95" i="15"/>
  <c r="J95" i="15"/>
  <c r="O94" i="15"/>
  <c r="S94" i="15"/>
  <c r="Q94" i="15"/>
  <c r="D57" i="9" l="1"/>
  <c r="E54" i="9"/>
  <c r="T39" i="15"/>
  <c r="S40" i="15" s="1"/>
  <c r="T94" i="15"/>
  <c r="U94" i="15"/>
  <c r="L94" i="15"/>
  <c r="M94" i="15"/>
  <c r="K96" i="15"/>
  <c r="F96" i="15"/>
  <c r="C96" i="15"/>
  <c r="V95" i="15"/>
  <c r="E96" i="15"/>
  <c r="O95" i="15"/>
  <c r="G96" i="15"/>
  <c r="B96" i="15"/>
  <c r="I96" i="15"/>
  <c r="P95" i="15"/>
  <c r="J96" i="15"/>
  <c r="S95" i="15"/>
  <c r="Q95" i="15"/>
  <c r="I40" i="15"/>
  <c r="L39" i="15"/>
  <c r="E55" i="9" l="1"/>
  <c r="F52" i="9" s="1"/>
  <c r="U39" i="15"/>
  <c r="Q39" i="15"/>
  <c r="U95" i="15"/>
  <c r="L95" i="15"/>
  <c r="M95" i="15"/>
  <c r="T95" i="15"/>
  <c r="K97" i="15"/>
  <c r="E97" i="15"/>
  <c r="C97" i="15"/>
  <c r="O96" i="15"/>
  <c r="F97" i="15"/>
  <c r="P96" i="15"/>
  <c r="G97" i="15"/>
  <c r="B97" i="15"/>
  <c r="I97" i="15"/>
  <c r="V96" i="15"/>
  <c r="J97" i="15"/>
  <c r="Q96" i="15"/>
  <c r="S96" i="15"/>
  <c r="K40" i="15"/>
  <c r="E57" i="9" l="1"/>
  <c r="F54" i="9"/>
  <c r="F55" i="9" s="1"/>
  <c r="G52" i="9" s="1"/>
  <c r="K98" i="15"/>
  <c r="G98" i="15"/>
  <c r="P97" i="15"/>
  <c r="F98" i="15"/>
  <c r="I98" i="15"/>
  <c r="O97" i="15"/>
  <c r="E98" i="15"/>
  <c r="B98" i="15"/>
  <c r="C98" i="15"/>
  <c r="V97" i="15"/>
  <c r="J98" i="15"/>
  <c r="S97" i="15"/>
  <c r="Q97" i="15"/>
  <c r="J40" i="15"/>
  <c r="V40" i="15"/>
  <c r="L96" i="15"/>
  <c r="U96" i="15"/>
  <c r="T96" i="15"/>
  <c r="M96" i="15"/>
  <c r="G54" i="9" l="1"/>
  <c r="G55" i="9" s="1"/>
  <c r="H52" i="9" s="1"/>
  <c r="F57" i="9"/>
  <c r="T40" i="15"/>
  <c r="I41" i="15"/>
  <c r="M40" i="15"/>
  <c r="M97" i="15"/>
  <c r="T97" i="15"/>
  <c r="L97" i="15"/>
  <c r="U97" i="15"/>
  <c r="V98" i="15"/>
  <c r="F99" i="15"/>
  <c r="B99" i="15"/>
  <c r="O98" i="15"/>
  <c r="C99" i="15"/>
  <c r="K99" i="15"/>
  <c r="E99" i="15"/>
  <c r="G99" i="15"/>
  <c r="I99" i="15"/>
  <c r="P98" i="15"/>
  <c r="J99" i="15"/>
  <c r="S98" i="15"/>
  <c r="Q98" i="15"/>
  <c r="L40" i="15"/>
  <c r="G57" i="9" l="1"/>
  <c r="H54" i="9"/>
  <c r="H55" i="9" s="1"/>
  <c r="K41" i="15"/>
  <c r="U98" i="15"/>
  <c r="T98" i="15"/>
  <c r="L98" i="15"/>
  <c r="M98" i="15"/>
  <c r="S41" i="15"/>
  <c r="U40" i="15"/>
  <c r="K100" i="15"/>
  <c r="F100" i="15"/>
  <c r="C100" i="15"/>
  <c r="J100" i="15"/>
  <c r="I100" i="15"/>
  <c r="V99" i="15"/>
  <c r="E100" i="15"/>
  <c r="G100" i="15"/>
  <c r="B100" i="15"/>
  <c r="O99" i="15"/>
  <c r="P99" i="15"/>
  <c r="S99" i="15"/>
  <c r="Q99" i="15"/>
  <c r="Q40" i="15"/>
  <c r="I52" i="9" l="1"/>
  <c r="H57" i="9"/>
  <c r="L99" i="15"/>
  <c r="T99" i="15"/>
  <c r="M99" i="15"/>
  <c r="U99" i="15"/>
  <c r="J41" i="15"/>
  <c r="M41" i="15" s="1"/>
  <c r="V41" i="15"/>
  <c r="V100" i="15"/>
  <c r="E101" i="15"/>
  <c r="C101" i="15"/>
  <c r="F101" i="15"/>
  <c r="I101" i="15"/>
  <c r="O100" i="15"/>
  <c r="J101" i="15"/>
  <c r="G101" i="15"/>
  <c r="B101" i="15"/>
  <c r="P100" i="15"/>
  <c r="K101" i="15"/>
  <c r="S100" i="15"/>
  <c r="Q100" i="15"/>
  <c r="I54" i="9" l="1"/>
  <c r="I55" i="9" s="1"/>
  <c r="T41" i="15"/>
  <c r="Q41" i="15" s="1"/>
  <c r="K102" i="15"/>
  <c r="G102" i="15"/>
  <c r="J102" i="15"/>
  <c r="C102" i="15"/>
  <c r="P101" i="15"/>
  <c r="F102" i="15"/>
  <c r="I102" i="15"/>
  <c r="E102" i="15"/>
  <c r="B102" i="15"/>
  <c r="O101" i="15"/>
  <c r="V101" i="15"/>
  <c r="Q101" i="15"/>
  <c r="S101" i="15"/>
  <c r="I42" i="15"/>
  <c r="M100" i="15"/>
  <c r="L100" i="15"/>
  <c r="U100" i="15"/>
  <c r="T100" i="15"/>
  <c r="L41" i="15"/>
  <c r="J52" i="9" l="1"/>
  <c r="I57" i="9"/>
  <c r="K42" i="15"/>
  <c r="M101" i="15"/>
  <c r="U101" i="15"/>
  <c r="T101" i="15"/>
  <c r="L101" i="15"/>
  <c r="V102" i="15"/>
  <c r="F103" i="15"/>
  <c r="B103" i="15"/>
  <c r="J103" i="15"/>
  <c r="I103" i="15"/>
  <c r="O102" i="15"/>
  <c r="C103" i="15"/>
  <c r="E103" i="15"/>
  <c r="G103" i="15"/>
  <c r="K103" i="15"/>
  <c r="P102" i="15"/>
  <c r="Q102" i="15"/>
  <c r="S102" i="15"/>
  <c r="U41" i="15"/>
  <c r="S42" i="15"/>
  <c r="J55" i="9" l="1"/>
  <c r="J54" i="9"/>
  <c r="T102" i="15"/>
  <c r="M102" i="15"/>
  <c r="L102" i="15"/>
  <c r="U102" i="15"/>
  <c r="J42" i="15"/>
  <c r="T42" i="15" s="1"/>
  <c r="V42" i="15"/>
  <c r="K104" i="15"/>
  <c r="F104" i="15"/>
  <c r="C104" i="15"/>
  <c r="J104" i="15"/>
  <c r="B104" i="15"/>
  <c r="P103" i="15"/>
  <c r="I104" i="15"/>
  <c r="E104" i="15"/>
  <c r="G104" i="15"/>
  <c r="V103" i="15"/>
  <c r="O103" i="15"/>
  <c r="S103" i="15"/>
  <c r="Q103" i="15"/>
  <c r="J57" i="9" l="1"/>
  <c r="K52" i="9"/>
  <c r="U42" i="15"/>
  <c r="S43" i="15"/>
  <c r="L42" i="15"/>
  <c r="M103" i="15"/>
  <c r="U103" i="15"/>
  <c r="T103" i="15"/>
  <c r="L103" i="15"/>
  <c r="M42" i="15"/>
  <c r="V104" i="15"/>
  <c r="E105" i="15"/>
  <c r="C105" i="15"/>
  <c r="K105" i="15"/>
  <c r="B105" i="15"/>
  <c r="J105" i="15"/>
  <c r="I105" i="15"/>
  <c r="F105" i="15"/>
  <c r="G105" i="15"/>
  <c r="O104" i="15"/>
  <c r="P104" i="15"/>
  <c r="Q104" i="15"/>
  <c r="S104" i="15"/>
  <c r="Q42" i="15"/>
  <c r="I43" i="15"/>
  <c r="K55" i="9" l="1"/>
  <c r="L52" i="9" s="1"/>
  <c r="K54" i="9"/>
  <c r="T104" i="15"/>
  <c r="L104" i="15"/>
  <c r="U104" i="15"/>
  <c r="M104" i="15"/>
  <c r="K106" i="15"/>
  <c r="G106" i="15"/>
  <c r="V105" i="15"/>
  <c r="B106" i="15"/>
  <c r="J106" i="15"/>
  <c r="C106" i="15"/>
  <c r="F106" i="15"/>
  <c r="E106" i="15"/>
  <c r="P105" i="15"/>
  <c r="O105" i="15"/>
  <c r="I106" i="15"/>
  <c r="Q105" i="15"/>
  <c r="S105" i="15"/>
  <c r="K43" i="15"/>
  <c r="K57" i="9" l="1"/>
  <c r="L55" i="9"/>
  <c r="M52" i="9" s="1"/>
  <c r="L54" i="9"/>
  <c r="J43" i="15"/>
  <c r="V43" i="15"/>
  <c r="T105" i="15"/>
  <c r="U105" i="15"/>
  <c r="M105" i="15"/>
  <c r="L105" i="15"/>
  <c r="V106" i="15"/>
  <c r="J107" i="15"/>
  <c r="B107" i="15"/>
  <c r="P106" i="15"/>
  <c r="G107" i="15"/>
  <c r="O106" i="15"/>
  <c r="I107" i="15"/>
  <c r="F107" i="15"/>
  <c r="E107" i="15"/>
  <c r="C107" i="15"/>
  <c r="K107" i="15"/>
  <c r="S106" i="15"/>
  <c r="Q106" i="15"/>
  <c r="L57" i="9" l="1"/>
  <c r="M54" i="9"/>
  <c r="M55" i="9"/>
  <c r="N52" i="9" s="1"/>
  <c r="T43" i="15"/>
  <c r="I44" i="15"/>
  <c r="M43" i="15"/>
  <c r="T106" i="15"/>
  <c r="M106" i="15"/>
  <c r="L106" i="15"/>
  <c r="U106" i="15"/>
  <c r="L43" i="15"/>
  <c r="K108" i="15"/>
  <c r="F108" i="15"/>
  <c r="C108" i="15"/>
  <c r="O107" i="15"/>
  <c r="G108" i="15"/>
  <c r="J108" i="15"/>
  <c r="B108" i="15"/>
  <c r="P107" i="15"/>
  <c r="E108" i="15"/>
  <c r="V107" i="15"/>
  <c r="I108" i="15"/>
  <c r="S107" i="15"/>
  <c r="Q107" i="15"/>
  <c r="N54" i="9" l="1"/>
  <c r="N55" i="9" s="1"/>
  <c r="O55" i="9" s="1"/>
  <c r="M57" i="9"/>
  <c r="K44" i="15"/>
  <c r="M107" i="15"/>
  <c r="L107" i="15"/>
  <c r="T107" i="15"/>
  <c r="U107" i="15"/>
  <c r="K109" i="15"/>
  <c r="E109" i="15"/>
  <c r="C109" i="15"/>
  <c r="P108" i="15"/>
  <c r="G109" i="15"/>
  <c r="F109" i="15"/>
  <c r="B109" i="15"/>
  <c r="V108" i="15"/>
  <c r="J109" i="15"/>
  <c r="I109" i="15"/>
  <c r="O108" i="15"/>
  <c r="Q108" i="15"/>
  <c r="S108" i="15"/>
  <c r="S44" i="15"/>
  <c r="U43" i="15"/>
  <c r="Q43" i="15"/>
  <c r="C61" i="9" l="1"/>
  <c r="N57" i="9"/>
  <c r="O57" i="9" s="1"/>
  <c r="O54" i="9"/>
  <c r="T108" i="15"/>
  <c r="M108" i="15"/>
  <c r="U108" i="15"/>
  <c r="L108" i="15"/>
  <c r="K110" i="15"/>
  <c r="G110" i="15"/>
  <c r="O109" i="15"/>
  <c r="E110" i="15"/>
  <c r="V109" i="15"/>
  <c r="B110" i="15"/>
  <c r="J110" i="15"/>
  <c r="F110" i="15"/>
  <c r="P109" i="15"/>
  <c r="C110" i="15"/>
  <c r="I110" i="15"/>
  <c r="Q109" i="15"/>
  <c r="S109" i="15"/>
  <c r="J44" i="15"/>
  <c r="T44" i="15" s="1"/>
  <c r="V44" i="15"/>
  <c r="C64" i="9" l="1"/>
  <c r="D61" i="9" s="1"/>
  <c r="C63" i="9"/>
  <c r="M44" i="15"/>
  <c r="L44" i="15"/>
  <c r="U44" i="15"/>
  <c r="S45" i="15"/>
  <c r="Q44" i="15"/>
  <c r="I45" i="15"/>
  <c r="V110" i="15"/>
  <c r="F111" i="15"/>
  <c r="I111" i="15"/>
  <c r="K111" i="15"/>
  <c r="G111" i="15"/>
  <c r="P110" i="15"/>
  <c r="B111" i="15"/>
  <c r="J111" i="15"/>
  <c r="O110" i="15"/>
  <c r="C111" i="15"/>
  <c r="E111" i="15"/>
  <c r="S110" i="15"/>
  <c r="Q110" i="15"/>
  <c r="U109" i="15"/>
  <c r="M109" i="15"/>
  <c r="T109" i="15"/>
  <c r="L109" i="15"/>
  <c r="C66" i="9" l="1"/>
  <c r="D63" i="9"/>
  <c r="D64" i="9" s="1"/>
  <c r="E61" i="9" s="1"/>
  <c r="M110" i="15"/>
  <c r="T110" i="15"/>
  <c r="U110" i="15"/>
  <c r="L110" i="15"/>
  <c r="K45" i="15"/>
  <c r="K112" i="15"/>
  <c r="F112" i="15"/>
  <c r="C112" i="15"/>
  <c r="V111" i="15"/>
  <c r="G112" i="15"/>
  <c r="O111" i="15"/>
  <c r="B112" i="15"/>
  <c r="P111" i="15"/>
  <c r="J112" i="15"/>
  <c r="E112" i="15"/>
  <c r="I112" i="15"/>
  <c r="Q111" i="15"/>
  <c r="S111" i="15"/>
  <c r="D66" i="9" l="1"/>
  <c r="E63" i="9"/>
  <c r="E64" i="9" s="1"/>
  <c r="E66" i="9" s="1"/>
  <c r="T111" i="15"/>
  <c r="L111" i="15"/>
  <c r="M111" i="15"/>
  <c r="U111" i="15"/>
  <c r="K113" i="15"/>
  <c r="G113" i="15"/>
  <c r="E113" i="15"/>
  <c r="O112" i="15"/>
  <c r="F113" i="15"/>
  <c r="P112" i="15"/>
  <c r="B113" i="15"/>
  <c r="V112" i="15"/>
  <c r="J113" i="15"/>
  <c r="I113" i="15"/>
  <c r="C113" i="15"/>
  <c r="S112" i="15"/>
  <c r="Q112" i="15"/>
  <c r="J45" i="15"/>
  <c r="V45" i="15"/>
  <c r="F61" i="9" l="1"/>
  <c r="L45" i="15"/>
  <c r="M45" i="15"/>
  <c r="I46" i="15"/>
  <c r="T45" i="15"/>
  <c r="K114" i="15"/>
  <c r="B114" i="15"/>
  <c r="P113" i="15"/>
  <c r="F114" i="15"/>
  <c r="I114" i="15"/>
  <c r="O113" i="15"/>
  <c r="G114" i="15"/>
  <c r="V113" i="15"/>
  <c r="J114" i="15"/>
  <c r="E114" i="15"/>
  <c r="C114" i="15"/>
  <c r="S113" i="15"/>
  <c r="Q113" i="15"/>
  <c r="U112" i="15"/>
  <c r="M112" i="15"/>
  <c r="L112" i="15"/>
  <c r="T112" i="15"/>
  <c r="F63" i="9" l="1"/>
  <c r="F64" i="9"/>
  <c r="K46" i="15"/>
  <c r="M113" i="15"/>
  <c r="T113" i="15"/>
  <c r="U113" i="15"/>
  <c r="L113" i="15"/>
  <c r="V114" i="15"/>
  <c r="F115" i="15"/>
  <c r="I115" i="15"/>
  <c r="O114" i="15"/>
  <c r="E115" i="15"/>
  <c r="K115" i="15"/>
  <c r="G115" i="15"/>
  <c r="P114" i="15"/>
  <c r="J115" i="15"/>
  <c r="B115" i="15"/>
  <c r="C115" i="15"/>
  <c r="Q114" i="15"/>
  <c r="S114" i="15"/>
  <c r="U45" i="15"/>
  <c r="S46" i="15"/>
  <c r="Q45" i="15"/>
  <c r="G61" i="9" l="1"/>
  <c r="F66" i="9"/>
  <c r="L114" i="15"/>
  <c r="M114" i="15"/>
  <c r="T114" i="15"/>
  <c r="U114" i="15"/>
  <c r="K116" i="15"/>
  <c r="F116" i="15"/>
  <c r="C116" i="15"/>
  <c r="J116" i="15"/>
  <c r="I116" i="15"/>
  <c r="V115" i="15"/>
  <c r="G116" i="15"/>
  <c r="O115" i="15"/>
  <c r="P115" i="15"/>
  <c r="B116" i="15"/>
  <c r="E116" i="15"/>
  <c r="Q115" i="15"/>
  <c r="S115" i="15"/>
  <c r="J46" i="15"/>
  <c r="T46" i="15" s="1"/>
  <c r="V46" i="15"/>
  <c r="G64" i="9" l="1"/>
  <c r="G63" i="9"/>
  <c r="S47" i="15"/>
  <c r="U46" i="15"/>
  <c r="L115" i="15"/>
  <c r="T115" i="15"/>
  <c r="M115" i="15"/>
  <c r="U115" i="15"/>
  <c r="Q46" i="15"/>
  <c r="I47" i="15"/>
  <c r="M46" i="15"/>
  <c r="L46" i="15"/>
  <c r="V116" i="15"/>
  <c r="G117" i="15"/>
  <c r="E117" i="15"/>
  <c r="F117" i="15"/>
  <c r="C117" i="15"/>
  <c r="O116" i="15"/>
  <c r="P116" i="15"/>
  <c r="I117" i="15"/>
  <c r="K117" i="15"/>
  <c r="J117" i="15"/>
  <c r="B117" i="15"/>
  <c r="S116" i="15"/>
  <c r="Q116" i="15"/>
  <c r="G66" i="9" l="1"/>
  <c r="H61" i="9"/>
  <c r="K118" i="15"/>
  <c r="B118" i="15"/>
  <c r="J118" i="15"/>
  <c r="C118" i="15"/>
  <c r="F118" i="15"/>
  <c r="P117" i="15"/>
  <c r="G118" i="15"/>
  <c r="E118" i="15"/>
  <c r="I118" i="15"/>
  <c r="O117" i="15"/>
  <c r="V117" i="15"/>
  <c r="S117" i="15"/>
  <c r="Q117" i="15"/>
  <c r="K47" i="15"/>
  <c r="M116" i="15"/>
  <c r="T116" i="15"/>
  <c r="L116" i="15"/>
  <c r="U116" i="15"/>
  <c r="H63" i="9" l="1"/>
  <c r="H64" i="9"/>
  <c r="J47" i="15"/>
  <c r="L47" i="15" s="1"/>
  <c r="V47" i="15"/>
  <c r="M117" i="15"/>
  <c r="T117" i="15"/>
  <c r="U117" i="15"/>
  <c r="L117" i="15"/>
  <c r="V118" i="15"/>
  <c r="F119" i="15"/>
  <c r="I119" i="15"/>
  <c r="J119" i="15"/>
  <c r="C119" i="15"/>
  <c r="K119" i="15"/>
  <c r="B119" i="15"/>
  <c r="P118" i="15"/>
  <c r="E119" i="15"/>
  <c r="O118" i="15"/>
  <c r="G119" i="15"/>
  <c r="Q118" i="15"/>
  <c r="S118" i="15"/>
  <c r="I61" i="9" l="1"/>
  <c r="H66" i="9"/>
  <c r="M47" i="15"/>
  <c r="T118" i="15"/>
  <c r="U118" i="15"/>
  <c r="L118" i="15"/>
  <c r="M118" i="15"/>
  <c r="K120" i="15"/>
  <c r="J120" i="15"/>
  <c r="E120" i="15"/>
  <c r="P119" i="15"/>
  <c r="I120" i="15"/>
  <c r="F120" i="15"/>
  <c r="G120" i="15"/>
  <c r="V119" i="15"/>
  <c r="O119" i="15"/>
  <c r="B120" i="15"/>
  <c r="C120" i="15"/>
  <c r="S119" i="15"/>
  <c r="Q119" i="15"/>
  <c r="T47" i="15"/>
  <c r="I48" i="15"/>
  <c r="I63" i="9" l="1"/>
  <c r="I64" i="9" s="1"/>
  <c r="K48" i="15"/>
  <c r="S48" i="15"/>
  <c r="U47" i="15"/>
  <c r="Q47" i="15"/>
  <c r="V120" i="15"/>
  <c r="G121" i="15"/>
  <c r="C121" i="15"/>
  <c r="J121" i="15"/>
  <c r="I121" i="15"/>
  <c r="O120" i="15"/>
  <c r="B121" i="15"/>
  <c r="P120" i="15"/>
  <c r="E121" i="15"/>
  <c r="K121" i="15"/>
  <c r="F121" i="15"/>
  <c r="Q120" i="15"/>
  <c r="S120" i="15"/>
  <c r="M119" i="15"/>
  <c r="T119" i="15"/>
  <c r="U119" i="15"/>
  <c r="L119" i="15"/>
  <c r="J61" i="9" l="1"/>
  <c r="I66" i="9"/>
  <c r="T120" i="15"/>
  <c r="U120" i="15"/>
  <c r="M120" i="15"/>
  <c r="L120" i="15"/>
  <c r="K122" i="15"/>
  <c r="G122" i="15"/>
  <c r="V121" i="15"/>
  <c r="B122" i="15"/>
  <c r="J122" i="15"/>
  <c r="C122" i="15"/>
  <c r="F122" i="15"/>
  <c r="E122" i="15"/>
  <c r="I122" i="15"/>
  <c r="P121" i="15"/>
  <c r="O121" i="15"/>
  <c r="Q121" i="15"/>
  <c r="S121" i="15"/>
  <c r="J48" i="15"/>
  <c r="T48" i="15" s="1"/>
  <c r="S49" i="15" s="1"/>
  <c r="V48" i="15"/>
  <c r="J63" i="9" l="1"/>
  <c r="J64" i="9"/>
  <c r="K61" i="9" s="1"/>
  <c r="V122" i="15"/>
  <c r="J123" i="15"/>
  <c r="B123" i="15"/>
  <c r="P122" i="15"/>
  <c r="G123" i="15"/>
  <c r="E123" i="15"/>
  <c r="K123" i="15"/>
  <c r="C123" i="15"/>
  <c r="I123" i="15"/>
  <c r="O122" i="15"/>
  <c r="F123" i="15"/>
  <c r="Q122" i="15"/>
  <c r="S122" i="15"/>
  <c r="U48" i="15"/>
  <c r="Q48" i="15"/>
  <c r="I49" i="15"/>
  <c r="M48" i="15"/>
  <c r="T121" i="15"/>
  <c r="U121" i="15"/>
  <c r="M121" i="15"/>
  <c r="L121" i="15"/>
  <c r="L48" i="15"/>
  <c r="K63" i="9" l="1"/>
  <c r="K64" i="9"/>
  <c r="L61" i="9" s="1"/>
  <c r="J66" i="9"/>
  <c r="K49" i="15"/>
  <c r="K124" i="15"/>
  <c r="F124" i="15"/>
  <c r="I124" i="15"/>
  <c r="O123" i="15"/>
  <c r="G124" i="15"/>
  <c r="P123" i="15"/>
  <c r="C124" i="15"/>
  <c r="J124" i="15"/>
  <c r="V123" i="15"/>
  <c r="E124" i="15"/>
  <c r="B124" i="15"/>
  <c r="Q123" i="15"/>
  <c r="S123" i="15"/>
  <c r="M122" i="15"/>
  <c r="U122" i="15"/>
  <c r="L122" i="15"/>
  <c r="T122" i="15"/>
  <c r="K66" i="9" l="1"/>
  <c r="L63" i="9"/>
  <c r="L64" i="9"/>
  <c r="M61" i="9" s="1"/>
  <c r="M123" i="15"/>
  <c r="T123" i="15"/>
  <c r="U123" i="15"/>
  <c r="L123" i="15"/>
  <c r="K125" i="15"/>
  <c r="E125" i="15"/>
  <c r="I125" i="15"/>
  <c r="P124" i="15"/>
  <c r="G125" i="15"/>
  <c r="J125" i="15"/>
  <c r="O124" i="15"/>
  <c r="B125" i="15"/>
  <c r="V124" i="15"/>
  <c r="F125" i="15"/>
  <c r="C125" i="15"/>
  <c r="S124" i="15"/>
  <c r="Q124" i="15"/>
  <c r="J49" i="15"/>
  <c r="M49" i="15" s="1"/>
  <c r="V49" i="15"/>
  <c r="M63" i="9" l="1"/>
  <c r="M64" i="9"/>
  <c r="N61" i="9" s="1"/>
  <c r="L66" i="9"/>
  <c r="L49" i="15"/>
  <c r="T124" i="15"/>
  <c r="M124" i="15"/>
  <c r="L124" i="15"/>
  <c r="U124" i="15"/>
  <c r="K126" i="15"/>
  <c r="G126" i="15"/>
  <c r="O125" i="15"/>
  <c r="E126" i="15"/>
  <c r="V125" i="15"/>
  <c r="I126" i="15"/>
  <c r="J126" i="15"/>
  <c r="C126" i="15"/>
  <c r="F126" i="15"/>
  <c r="B126" i="15"/>
  <c r="P125" i="15"/>
  <c r="S125" i="15"/>
  <c r="Q125" i="15"/>
  <c r="T49" i="15"/>
  <c r="Q49" i="15" s="1"/>
  <c r="I50" i="15"/>
  <c r="N64" i="9" l="1"/>
  <c r="O64" i="9" s="1"/>
  <c r="N63" i="9"/>
  <c r="M66" i="9"/>
  <c r="V126" i="15"/>
  <c r="F127" i="15"/>
  <c r="B127" i="15"/>
  <c r="K127" i="15"/>
  <c r="E127" i="15"/>
  <c r="O126" i="15"/>
  <c r="G127" i="15"/>
  <c r="C127" i="15"/>
  <c r="I127" i="15"/>
  <c r="P126" i="15"/>
  <c r="J127" i="15"/>
  <c r="S126" i="15"/>
  <c r="Q126" i="15"/>
  <c r="S50" i="15"/>
  <c r="U49" i="15"/>
  <c r="K50" i="15"/>
  <c r="M125" i="15"/>
  <c r="T125" i="15"/>
  <c r="U125" i="15"/>
  <c r="L125" i="15"/>
  <c r="C70" i="9" l="1"/>
  <c r="C72" i="9" s="1"/>
  <c r="N66" i="9"/>
  <c r="O66" i="9" s="1"/>
  <c r="O63" i="9"/>
  <c r="K128" i="15"/>
  <c r="J128" i="15"/>
  <c r="I128" i="15"/>
  <c r="V127" i="15"/>
  <c r="E128" i="15"/>
  <c r="O127" i="15"/>
  <c r="B128" i="15"/>
  <c r="P127" i="15"/>
  <c r="C128" i="15"/>
  <c r="F128" i="15"/>
  <c r="G128" i="15"/>
  <c r="S127" i="15"/>
  <c r="Q127" i="15"/>
  <c r="J50" i="15"/>
  <c r="M50" i="15" s="1"/>
  <c r="V50" i="15"/>
  <c r="U126" i="15"/>
  <c r="L126" i="15"/>
  <c r="T126" i="15"/>
  <c r="M126" i="15"/>
  <c r="C73" i="9" l="1"/>
  <c r="D70" i="9" s="1"/>
  <c r="D73" i="9" s="1"/>
  <c r="E70" i="9" s="1"/>
  <c r="T50" i="15"/>
  <c r="U50" i="15" s="1"/>
  <c r="L50" i="15"/>
  <c r="L127" i="15"/>
  <c r="M127" i="15"/>
  <c r="T127" i="15"/>
  <c r="U127" i="15"/>
  <c r="K129" i="15"/>
  <c r="I129" i="15"/>
  <c r="C129" i="15"/>
  <c r="O128" i="15"/>
  <c r="F129" i="15"/>
  <c r="J129" i="15"/>
  <c r="G129" i="15"/>
  <c r="P128" i="15"/>
  <c r="V128" i="15"/>
  <c r="E129" i="15"/>
  <c r="B129" i="15"/>
  <c r="S128" i="15"/>
  <c r="Q128" i="15"/>
  <c r="I51" i="15"/>
  <c r="C75" i="9" l="1"/>
  <c r="D72" i="9"/>
  <c r="D75" i="9" s="1"/>
  <c r="E73" i="9"/>
  <c r="F70" i="9" s="1"/>
  <c r="E72" i="9"/>
  <c r="Q50" i="15"/>
  <c r="S51" i="15"/>
  <c r="T128" i="15"/>
  <c r="U128" i="15"/>
  <c r="L128" i="15"/>
  <c r="M128" i="15"/>
  <c r="K51" i="15"/>
  <c r="K130" i="15"/>
  <c r="C130" i="15"/>
  <c r="P129" i="15"/>
  <c r="F130" i="15"/>
  <c r="E130" i="15"/>
  <c r="O129" i="15"/>
  <c r="G130" i="15"/>
  <c r="V129" i="15"/>
  <c r="B130" i="15"/>
  <c r="J130" i="15"/>
  <c r="I130" i="15"/>
  <c r="Q129" i="15"/>
  <c r="S129" i="15"/>
  <c r="E75" i="9" l="1"/>
  <c r="F73" i="9"/>
  <c r="G70" i="9" s="1"/>
  <c r="F72" i="9"/>
  <c r="L129" i="15"/>
  <c r="M129" i="15"/>
  <c r="T129" i="15"/>
  <c r="U129" i="15"/>
  <c r="V130" i="15"/>
  <c r="O130" i="15"/>
  <c r="G131" i="15"/>
  <c r="F131" i="15"/>
  <c r="E131" i="15"/>
  <c r="J131" i="15"/>
  <c r="I131" i="15"/>
  <c r="C131" i="15"/>
  <c r="B131" i="15"/>
  <c r="K131" i="15"/>
  <c r="P130" i="15"/>
  <c r="S130" i="15"/>
  <c r="Q130" i="15"/>
  <c r="J51" i="15"/>
  <c r="V51" i="15"/>
  <c r="G72" i="9" l="1"/>
  <c r="G73" i="9"/>
  <c r="H70" i="9" s="1"/>
  <c r="F75" i="9"/>
  <c r="K132" i="15"/>
  <c r="J132" i="15"/>
  <c r="B132" i="15"/>
  <c r="F132" i="15"/>
  <c r="E132" i="15"/>
  <c r="V131" i="15"/>
  <c r="C132" i="15"/>
  <c r="O131" i="15"/>
  <c r="G132" i="15"/>
  <c r="P131" i="15"/>
  <c r="I132" i="15"/>
  <c r="Q131" i="15"/>
  <c r="S131" i="15"/>
  <c r="T51" i="15"/>
  <c r="I52" i="15"/>
  <c r="M130" i="15"/>
  <c r="U130" i="15"/>
  <c r="T130" i="15"/>
  <c r="L130" i="15"/>
  <c r="L51" i="15"/>
  <c r="M51" i="15"/>
  <c r="H73" i="9" l="1"/>
  <c r="I70" i="9" s="1"/>
  <c r="H72" i="9"/>
  <c r="G75" i="9"/>
  <c r="K52" i="15"/>
  <c r="U51" i="15"/>
  <c r="S52" i="15"/>
  <c r="V132" i="15"/>
  <c r="I133" i="15"/>
  <c r="E133" i="15"/>
  <c r="F133" i="15"/>
  <c r="B133" i="15"/>
  <c r="K133" i="15"/>
  <c r="J133" i="15"/>
  <c r="O132" i="15"/>
  <c r="P132" i="15"/>
  <c r="C133" i="15"/>
  <c r="G133" i="15"/>
  <c r="S132" i="15"/>
  <c r="Q132" i="15"/>
  <c r="Q51" i="15"/>
  <c r="T131" i="15"/>
  <c r="M131" i="15"/>
  <c r="U131" i="15"/>
  <c r="L131" i="15"/>
  <c r="H75" i="9" l="1"/>
  <c r="I72" i="9"/>
  <c r="I73" i="9"/>
  <c r="J70" i="9" s="1"/>
  <c r="K134" i="15"/>
  <c r="C134" i="15"/>
  <c r="J134" i="15"/>
  <c r="B134" i="15"/>
  <c r="P133" i="15"/>
  <c r="I134" i="15"/>
  <c r="O133" i="15"/>
  <c r="G134" i="15"/>
  <c r="V133" i="15"/>
  <c r="F134" i="15"/>
  <c r="E134" i="15"/>
  <c r="S133" i="15"/>
  <c r="Q133" i="15"/>
  <c r="J52" i="15"/>
  <c r="T52" i="15" s="1"/>
  <c r="V52" i="15"/>
  <c r="U132" i="15"/>
  <c r="T132" i="15"/>
  <c r="L132" i="15"/>
  <c r="M132" i="15"/>
  <c r="J72" i="9" l="1"/>
  <c r="J73" i="9"/>
  <c r="K70" i="9" s="1"/>
  <c r="I75" i="9"/>
  <c r="U52" i="15"/>
  <c r="S53" i="15"/>
  <c r="L133" i="15"/>
  <c r="M133" i="15"/>
  <c r="T133" i="15"/>
  <c r="U133" i="15"/>
  <c r="V134" i="15"/>
  <c r="O134" i="15"/>
  <c r="G135" i="15"/>
  <c r="J135" i="15"/>
  <c r="B135" i="15"/>
  <c r="P134" i="15"/>
  <c r="E135" i="15"/>
  <c r="F135" i="15"/>
  <c r="I135" i="15"/>
  <c r="C135" i="15"/>
  <c r="K135" i="15"/>
  <c r="Q134" i="15"/>
  <c r="S134" i="15"/>
  <c r="Q52" i="15"/>
  <c r="I53" i="15"/>
  <c r="M52" i="15"/>
  <c r="L52" i="15"/>
  <c r="J75" i="9" l="1"/>
  <c r="K73" i="9"/>
  <c r="L70" i="9" s="1"/>
  <c r="K72" i="9"/>
  <c r="T134" i="15"/>
  <c r="L134" i="15"/>
  <c r="M134" i="15"/>
  <c r="U134" i="15"/>
  <c r="K136" i="15"/>
  <c r="F136" i="15"/>
  <c r="B136" i="15"/>
  <c r="P135" i="15"/>
  <c r="G136" i="15"/>
  <c r="I136" i="15"/>
  <c r="V135" i="15"/>
  <c r="C136" i="15"/>
  <c r="E136" i="15"/>
  <c r="O135" i="15"/>
  <c r="J136" i="15"/>
  <c r="Q135" i="15"/>
  <c r="S135" i="15"/>
  <c r="K53" i="15"/>
  <c r="K75" i="9" l="1"/>
  <c r="L72" i="9"/>
  <c r="L73" i="9"/>
  <c r="M70" i="9" s="1"/>
  <c r="V136" i="15"/>
  <c r="I137" i="15"/>
  <c r="J137" i="15"/>
  <c r="G137" i="15"/>
  <c r="P136" i="15"/>
  <c r="B137" i="15"/>
  <c r="F137" i="15"/>
  <c r="E137" i="15"/>
  <c r="O136" i="15"/>
  <c r="K137" i="15"/>
  <c r="C137" i="15"/>
  <c r="S136" i="15"/>
  <c r="Q136" i="15"/>
  <c r="J53" i="15"/>
  <c r="V53" i="15"/>
  <c r="M135" i="15"/>
  <c r="U135" i="15"/>
  <c r="L135" i="15"/>
  <c r="T135" i="15"/>
  <c r="M73" i="9" l="1"/>
  <c r="N70" i="9" s="1"/>
  <c r="M72" i="9"/>
  <c r="L75" i="9"/>
  <c r="T53" i="15"/>
  <c r="Q53" i="15" s="1"/>
  <c r="M53" i="15"/>
  <c r="L53" i="15"/>
  <c r="I54" i="15"/>
  <c r="U136" i="15"/>
  <c r="T136" i="15"/>
  <c r="M136" i="15"/>
  <c r="L136" i="15"/>
  <c r="O137" i="15"/>
  <c r="F138" i="15"/>
  <c r="K138" i="15"/>
  <c r="G138" i="15"/>
  <c r="J138" i="15"/>
  <c r="B138" i="15"/>
  <c r="P137" i="15"/>
  <c r="E138" i="15"/>
  <c r="V137" i="15"/>
  <c r="I138" i="15"/>
  <c r="C138" i="15"/>
  <c r="Q137" i="15"/>
  <c r="S137" i="15"/>
  <c r="M75" i="9" l="1"/>
  <c r="N73" i="9"/>
  <c r="O73" i="9" s="1"/>
  <c r="N72" i="9"/>
  <c r="M137" i="15"/>
  <c r="L137" i="15"/>
  <c r="U137" i="15"/>
  <c r="T137" i="15"/>
  <c r="K139" i="15"/>
  <c r="F139" i="15"/>
  <c r="B139" i="15"/>
  <c r="P138" i="15"/>
  <c r="I139" i="15"/>
  <c r="E139" i="15"/>
  <c r="C139" i="15"/>
  <c r="V138" i="15"/>
  <c r="G139" i="15"/>
  <c r="O138" i="15"/>
  <c r="J139" i="15"/>
  <c r="S138" i="15"/>
  <c r="Q138" i="15"/>
  <c r="K54" i="15"/>
  <c r="U53" i="15"/>
  <c r="S54" i="15"/>
  <c r="C79" i="9" l="1"/>
  <c r="N75" i="9"/>
  <c r="O75" i="9" s="1"/>
  <c r="O72" i="9"/>
  <c r="L138" i="15"/>
  <c r="T138" i="15"/>
  <c r="M138" i="15"/>
  <c r="U138" i="15"/>
  <c r="O139" i="15"/>
  <c r="I140" i="15"/>
  <c r="E140" i="15"/>
  <c r="P139" i="15"/>
  <c r="C140" i="15"/>
  <c r="J140" i="15"/>
  <c r="F140" i="15"/>
  <c r="G140" i="15"/>
  <c r="B140" i="15"/>
  <c r="V139" i="15"/>
  <c r="K140" i="15"/>
  <c r="Q139" i="15"/>
  <c r="S139" i="15"/>
  <c r="J54" i="15"/>
  <c r="V54" i="15"/>
  <c r="C81" i="9" l="1"/>
  <c r="C82" i="9"/>
  <c r="D79" i="9" s="1"/>
  <c r="I55" i="15"/>
  <c r="T54" i="15"/>
  <c r="Q54" i="15" s="1"/>
  <c r="L54" i="15"/>
  <c r="M54" i="15"/>
  <c r="T139" i="15"/>
  <c r="L139" i="15"/>
  <c r="M139" i="15"/>
  <c r="U139" i="15"/>
  <c r="J141" i="15"/>
  <c r="I141" i="15"/>
  <c r="O140" i="15"/>
  <c r="V140" i="15"/>
  <c r="C141" i="15"/>
  <c r="P140" i="15"/>
  <c r="G141" i="15"/>
  <c r="K141" i="15"/>
  <c r="B141" i="15"/>
  <c r="F141" i="15"/>
  <c r="E141" i="15"/>
  <c r="Q140" i="15"/>
  <c r="S140" i="15"/>
  <c r="D81" i="9" l="1"/>
  <c r="D82" i="9"/>
  <c r="E79" i="9" s="1"/>
  <c r="C84" i="9"/>
  <c r="T140" i="15"/>
  <c r="M140" i="15"/>
  <c r="L140" i="15"/>
  <c r="U140" i="15"/>
  <c r="P141" i="15"/>
  <c r="J142" i="15"/>
  <c r="C142" i="15"/>
  <c r="O141" i="15"/>
  <c r="F142" i="15"/>
  <c r="G142" i="15"/>
  <c r="E142" i="15"/>
  <c r="I142" i="15"/>
  <c r="V141" i="15"/>
  <c r="K142" i="15"/>
  <c r="B142" i="15"/>
  <c r="Q141" i="15"/>
  <c r="S141" i="15"/>
  <c r="S55" i="15"/>
  <c r="U54" i="15"/>
  <c r="K55" i="15"/>
  <c r="E82" i="9" l="1"/>
  <c r="F79" i="9" s="1"/>
  <c r="E81" i="9"/>
  <c r="D84" i="9"/>
  <c r="J55" i="15"/>
  <c r="V55" i="15"/>
  <c r="K143" i="15"/>
  <c r="F143" i="15"/>
  <c r="G143" i="15"/>
  <c r="P142" i="15"/>
  <c r="E143" i="15"/>
  <c r="B143" i="15"/>
  <c r="J143" i="15"/>
  <c r="O142" i="15"/>
  <c r="I143" i="15"/>
  <c r="C143" i="15"/>
  <c r="V142" i="15"/>
  <c r="S142" i="15"/>
  <c r="Q142" i="15"/>
  <c r="L141" i="15"/>
  <c r="U141" i="15"/>
  <c r="T141" i="15"/>
  <c r="M141" i="15"/>
  <c r="F81" i="9" l="1"/>
  <c r="F82" i="9"/>
  <c r="G79" i="9" s="1"/>
  <c r="E84" i="9"/>
  <c r="I56" i="15"/>
  <c r="M55" i="15"/>
  <c r="L55" i="15"/>
  <c r="T142" i="15"/>
  <c r="U142" i="15"/>
  <c r="L142" i="15"/>
  <c r="M142" i="15"/>
  <c r="T55" i="15"/>
  <c r="Q55" i="15" s="1"/>
  <c r="O143" i="15"/>
  <c r="E144" i="15"/>
  <c r="B144" i="15"/>
  <c r="P143" i="15"/>
  <c r="I144" i="15"/>
  <c r="V143" i="15"/>
  <c r="C144" i="15"/>
  <c r="K144" i="15"/>
  <c r="G144" i="15"/>
  <c r="F144" i="15"/>
  <c r="J144" i="15"/>
  <c r="S143" i="15"/>
  <c r="Q143" i="15"/>
  <c r="G82" i="9" l="1"/>
  <c r="H79" i="9" s="1"/>
  <c r="G81" i="9"/>
  <c r="F84" i="9"/>
  <c r="V144" i="15"/>
  <c r="I145" i="15"/>
  <c r="O144" i="15"/>
  <c r="J145" i="15"/>
  <c r="C145" i="15"/>
  <c r="F145" i="15"/>
  <c r="E145" i="15"/>
  <c r="P144" i="15"/>
  <c r="K145" i="15"/>
  <c r="G145" i="15"/>
  <c r="B145" i="15"/>
  <c r="S144" i="15"/>
  <c r="Q144" i="15"/>
  <c r="L143" i="15"/>
  <c r="T143" i="15"/>
  <c r="M143" i="15"/>
  <c r="U143" i="15"/>
  <c r="S56" i="15"/>
  <c r="U55" i="15"/>
  <c r="K56" i="15"/>
  <c r="H82" i="9" l="1"/>
  <c r="I79" i="9" s="1"/>
  <c r="H81" i="9"/>
  <c r="G84" i="9"/>
  <c r="M144" i="15"/>
  <c r="L144" i="15"/>
  <c r="T144" i="15"/>
  <c r="U144" i="15"/>
  <c r="J56" i="15"/>
  <c r="T56" i="15" s="1"/>
  <c r="V56" i="15"/>
  <c r="P145" i="15"/>
  <c r="J146" i="15"/>
  <c r="C146" i="15"/>
  <c r="O145" i="15"/>
  <c r="F146" i="15"/>
  <c r="G146" i="15"/>
  <c r="V145" i="15"/>
  <c r="B146" i="15"/>
  <c r="K146" i="15"/>
  <c r="E146" i="15"/>
  <c r="I146" i="15"/>
  <c r="S145" i="15"/>
  <c r="Q145" i="15"/>
  <c r="H84" i="9" l="1"/>
  <c r="I82" i="9"/>
  <c r="J79" i="9" s="1"/>
  <c r="I81" i="9"/>
  <c r="U56" i="15"/>
  <c r="M56" i="15"/>
  <c r="L56" i="15"/>
  <c r="S57" i="15"/>
  <c r="Q56" i="15"/>
  <c r="I57" i="15"/>
  <c r="M145" i="15"/>
  <c r="T145" i="15"/>
  <c r="L145" i="15"/>
  <c r="U145" i="15"/>
  <c r="K147" i="15"/>
  <c r="F147" i="15"/>
  <c r="G147" i="15"/>
  <c r="P146" i="15"/>
  <c r="E147" i="15"/>
  <c r="B147" i="15"/>
  <c r="I147" i="15"/>
  <c r="V146" i="15"/>
  <c r="C147" i="15"/>
  <c r="J147" i="15"/>
  <c r="O146" i="15"/>
  <c r="Q146" i="15"/>
  <c r="S146" i="15"/>
  <c r="I84" i="9" l="1"/>
  <c r="J81" i="9"/>
  <c r="J82" i="9"/>
  <c r="K79" i="9" s="1"/>
  <c r="O147" i="15"/>
  <c r="E148" i="15"/>
  <c r="B148" i="15"/>
  <c r="P147" i="15"/>
  <c r="I148" i="15"/>
  <c r="J148" i="15"/>
  <c r="F148" i="15"/>
  <c r="V147" i="15"/>
  <c r="K148" i="15"/>
  <c r="C148" i="15"/>
  <c r="G148" i="15"/>
  <c r="S147" i="15"/>
  <c r="Q147" i="15"/>
  <c r="L146" i="15"/>
  <c r="M146" i="15"/>
  <c r="T146" i="15"/>
  <c r="U146" i="15"/>
  <c r="K57" i="15"/>
  <c r="K82" i="9" l="1"/>
  <c r="L79" i="9" s="1"/>
  <c r="K81" i="9"/>
  <c r="J84" i="9"/>
  <c r="J57" i="15"/>
  <c r="M57" i="15" s="1"/>
  <c r="V57" i="15"/>
  <c r="M147" i="15"/>
  <c r="T147" i="15"/>
  <c r="U147" i="15"/>
  <c r="L147" i="15"/>
  <c r="K149" i="15"/>
  <c r="I149" i="15"/>
  <c r="O148" i="15"/>
  <c r="J149" i="15"/>
  <c r="C149" i="15"/>
  <c r="P148" i="15"/>
  <c r="G149" i="15"/>
  <c r="V148" i="15"/>
  <c r="B149" i="15"/>
  <c r="F149" i="15"/>
  <c r="E149" i="15"/>
  <c r="S148" i="15"/>
  <c r="Q148" i="15"/>
  <c r="K84" i="9" l="1"/>
  <c r="L82" i="9"/>
  <c r="L81" i="9"/>
  <c r="L57" i="15"/>
  <c r="P149" i="15"/>
  <c r="J150" i="15"/>
  <c r="C150" i="15"/>
  <c r="O149" i="15"/>
  <c r="F150" i="15"/>
  <c r="G150" i="15"/>
  <c r="E150" i="15"/>
  <c r="I150" i="15"/>
  <c r="B150" i="15"/>
  <c r="V149" i="15"/>
  <c r="K150" i="15"/>
  <c r="Q149" i="15"/>
  <c r="S149" i="15"/>
  <c r="L148" i="15"/>
  <c r="U148" i="15"/>
  <c r="T148" i="15"/>
  <c r="M148" i="15"/>
  <c r="T57" i="15"/>
  <c r="I58" i="15"/>
  <c r="L84" i="9" l="1"/>
  <c r="M79" i="9"/>
  <c r="K58" i="15"/>
  <c r="S58" i="15"/>
  <c r="U57" i="15"/>
  <c r="Q57" i="15"/>
  <c r="L149" i="15"/>
  <c r="T149" i="15"/>
  <c r="U149" i="15"/>
  <c r="M149" i="15"/>
  <c r="K151" i="15"/>
  <c r="F151" i="15"/>
  <c r="G151" i="15"/>
  <c r="P150" i="15"/>
  <c r="E151" i="15"/>
  <c r="B151" i="15"/>
  <c r="J151" i="15"/>
  <c r="O150" i="15"/>
  <c r="V150" i="15"/>
  <c r="I151" i="15"/>
  <c r="C151" i="15"/>
  <c r="S150" i="15"/>
  <c r="Q150" i="15"/>
  <c r="M81" i="9" l="1"/>
  <c r="M82" i="9"/>
  <c r="O151" i="15"/>
  <c r="E152" i="15"/>
  <c r="B152" i="15"/>
  <c r="F152" i="15"/>
  <c r="I152" i="15"/>
  <c r="V151" i="15"/>
  <c r="C152" i="15"/>
  <c r="K152" i="15"/>
  <c r="G152" i="15"/>
  <c r="P151" i="15"/>
  <c r="J152" i="15"/>
  <c r="Q151" i="15"/>
  <c r="S151" i="15"/>
  <c r="U150" i="15"/>
  <c r="T150" i="15"/>
  <c r="M150" i="15"/>
  <c r="L150" i="15"/>
  <c r="J58" i="15"/>
  <c r="V58" i="15"/>
  <c r="N79" i="9" l="1"/>
  <c r="M84" i="9"/>
  <c r="I59" i="15"/>
  <c r="T58" i="15"/>
  <c r="L58" i="15"/>
  <c r="U151" i="15"/>
  <c r="T151" i="15"/>
  <c r="L151" i="15"/>
  <c r="M151" i="15"/>
  <c r="M58" i="15"/>
  <c r="J153" i="15"/>
  <c r="I153" i="15"/>
  <c r="O152" i="15"/>
  <c r="K153" i="15"/>
  <c r="C153" i="15"/>
  <c r="F153" i="15"/>
  <c r="E153" i="15"/>
  <c r="G153" i="15"/>
  <c r="B153" i="15"/>
  <c r="P152" i="15"/>
  <c r="V152" i="15"/>
  <c r="Q152" i="15"/>
  <c r="S152" i="15"/>
  <c r="N81" i="9" l="1"/>
  <c r="N82" i="9"/>
  <c r="C88" i="9" s="1"/>
  <c r="P153" i="15"/>
  <c r="J154" i="15"/>
  <c r="C154" i="15"/>
  <c r="O153" i="15"/>
  <c r="F154" i="15"/>
  <c r="G154" i="15"/>
  <c r="V153" i="15"/>
  <c r="B154" i="15"/>
  <c r="K154" i="15"/>
  <c r="E154" i="15"/>
  <c r="I154" i="15"/>
  <c r="Q153" i="15"/>
  <c r="S153" i="15"/>
  <c r="U58" i="15"/>
  <c r="S59" i="15"/>
  <c r="K59" i="15"/>
  <c r="M152" i="15"/>
  <c r="U152" i="15"/>
  <c r="T152" i="15"/>
  <c r="L152" i="15"/>
  <c r="Q58" i="15"/>
  <c r="H5" i="9" l="1"/>
  <c r="O82" i="9"/>
  <c r="N84" i="9"/>
  <c r="O81" i="9"/>
  <c r="H6" i="9"/>
  <c r="C91" i="9"/>
  <c r="D88" i="9" s="1"/>
  <c r="C90" i="9"/>
  <c r="U153" i="15"/>
  <c r="M153" i="15"/>
  <c r="T153" i="15"/>
  <c r="L153" i="15"/>
  <c r="J59" i="15"/>
  <c r="T59" i="15" s="1"/>
  <c r="V59" i="15"/>
  <c r="K155" i="15"/>
  <c r="F155" i="15"/>
  <c r="G155" i="15"/>
  <c r="P154" i="15"/>
  <c r="E155" i="15"/>
  <c r="B155" i="15"/>
  <c r="I155" i="15"/>
  <c r="V154" i="15"/>
  <c r="C155" i="15"/>
  <c r="O154" i="15"/>
  <c r="J155" i="15"/>
  <c r="Q154" i="15"/>
  <c r="S154" i="15"/>
  <c r="C93" i="9" l="1"/>
  <c r="H7" i="9"/>
  <c r="O84" i="9"/>
  <c r="H8" i="9"/>
  <c r="D90" i="9"/>
  <c r="D91" i="9"/>
  <c r="E88" i="9" s="1"/>
  <c r="U59" i="15"/>
  <c r="L59" i="15"/>
  <c r="M59" i="15"/>
  <c r="S60" i="15"/>
  <c r="O155" i="15"/>
  <c r="E156" i="15"/>
  <c r="B156" i="15"/>
  <c r="P155" i="15"/>
  <c r="I156" i="15"/>
  <c r="J156" i="15"/>
  <c r="F156" i="15"/>
  <c r="C156" i="15"/>
  <c r="G156" i="15"/>
  <c r="V155" i="15"/>
  <c r="K156" i="15"/>
  <c r="Q155" i="15"/>
  <c r="S155" i="15"/>
  <c r="U154" i="15"/>
  <c r="M154" i="15"/>
  <c r="T154" i="15"/>
  <c r="L154" i="15"/>
  <c r="Q59" i="15"/>
  <c r="I60" i="15"/>
  <c r="D93" i="9" l="1"/>
  <c r="E91" i="9"/>
  <c r="F88" i="9" s="1"/>
  <c r="E90" i="9"/>
  <c r="V156" i="15"/>
  <c r="I157" i="15"/>
  <c r="O156" i="15"/>
  <c r="J157" i="15"/>
  <c r="C157" i="15"/>
  <c r="P156" i="15"/>
  <c r="G157" i="15"/>
  <c r="K157" i="15"/>
  <c r="B157" i="15"/>
  <c r="F157" i="15"/>
  <c r="E157" i="15"/>
  <c r="Q156" i="15"/>
  <c r="S156" i="15"/>
  <c r="K60" i="15"/>
  <c r="M155" i="15"/>
  <c r="T155" i="15"/>
  <c r="L155" i="15"/>
  <c r="U155" i="15"/>
  <c r="E93" i="9" l="1"/>
  <c r="F91" i="9"/>
  <c r="G88" i="9" s="1"/>
  <c r="F90" i="9"/>
  <c r="J60" i="15"/>
  <c r="V60" i="15"/>
  <c r="T156" i="15"/>
  <c r="M156" i="15"/>
  <c r="U156" i="15"/>
  <c r="L156" i="15"/>
  <c r="P157" i="15"/>
  <c r="J158" i="15"/>
  <c r="C158" i="15"/>
  <c r="O157" i="15"/>
  <c r="F158" i="15"/>
  <c r="G158" i="15"/>
  <c r="E158" i="15"/>
  <c r="I158" i="15"/>
  <c r="V157" i="15"/>
  <c r="K158" i="15"/>
  <c r="B158" i="15"/>
  <c r="Q157" i="15"/>
  <c r="S157" i="15"/>
  <c r="F93" i="9" l="1"/>
  <c r="G90" i="9"/>
  <c r="G91" i="9"/>
  <c r="H88" i="9" s="1"/>
  <c r="T60" i="15"/>
  <c r="Q60" i="15" s="1"/>
  <c r="I61" i="15"/>
  <c r="L60" i="15"/>
  <c r="K159" i="15"/>
  <c r="F159" i="15"/>
  <c r="G159" i="15"/>
  <c r="P158" i="15"/>
  <c r="E159" i="15"/>
  <c r="B159" i="15"/>
  <c r="J159" i="15"/>
  <c r="O158" i="15"/>
  <c r="I159" i="15"/>
  <c r="C159" i="15"/>
  <c r="V158" i="15"/>
  <c r="Q158" i="15"/>
  <c r="S158" i="15"/>
  <c r="U157" i="15"/>
  <c r="T157" i="15"/>
  <c r="L157" i="15"/>
  <c r="M157" i="15"/>
  <c r="M60" i="15"/>
  <c r="G93" i="9" l="1"/>
  <c r="H91" i="9"/>
  <c r="I88" i="9" s="1"/>
  <c r="H90" i="9"/>
  <c r="O159" i="15"/>
  <c r="E160" i="15"/>
  <c r="B160" i="15"/>
  <c r="P159" i="15"/>
  <c r="I160" i="15"/>
  <c r="V159" i="15"/>
  <c r="C160" i="15"/>
  <c r="K160" i="15"/>
  <c r="G160" i="15"/>
  <c r="F160" i="15"/>
  <c r="J160" i="15"/>
  <c r="Q159" i="15"/>
  <c r="S159" i="15"/>
  <c r="K61" i="15"/>
  <c r="T158" i="15"/>
  <c r="L158" i="15"/>
  <c r="U158" i="15"/>
  <c r="M158" i="15"/>
  <c r="S61" i="15"/>
  <c r="U60" i="15"/>
  <c r="H93" i="9" l="1"/>
  <c r="I91" i="9"/>
  <c r="J88" i="9" s="1"/>
  <c r="I90" i="9"/>
  <c r="U159" i="15"/>
  <c r="L159" i="15"/>
  <c r="T159" i="15"/>
  <c r="M159" i="15"/>
  <c r="V160" i="15"/>
  <c r="I161" i="15"/>
  <c r="O160" i="15"/>
  <c r="J161" i="15"/>
  <c r="C161" i="15"/>
  <c r="F161" i="15"/>
  <c r="E161" i="15"/>
  <c r="P160" i="15"/>
  <c r="K161" i="15"/>
  <c r="G161" i="15"/>
  <c r="B161" i="15"/>
  <c r="S160" i="15"/>
  <c r="Q160" i="15"/>
  <c r="J61" i="15"/>
  <c r="T61" i="15" s="1"/>
  <c r="V61" i="15"/>
  <c r="I93" i="9" l="1"/>
  <c r="J91" i="9"/>
  <c r="K88" i="9" s="1"/>
  <c r="J90" i="9"/>
  <c r="U61" i="15"/>
  <c r="S62" i="15"/>
  <c r="Q61" i="15"/>
  <c r="I62" i="15"/>
  <c r="L61" i="15"/>
  <c r="L160" i="15"/>
  <c r="T160" i="15"/>
  <c r="M160" i="15"/>
  <c r="U160" i="15"/>
  <c r="P161" i="15"/>
  <c r="J162" i="15"/>
  <c r="C162" i="15"/>
  <c r="O161" i="15"/>
  <c r="F162" i="15"/>
  <c r="G162" i="15"/>
  <c r="V161" i="15"/>
  <c r="B162" i="15"/>
  <c r="K162" i="15"/>
  <c r="E162" i="15"/>
  <c r="I162" i="15"/>
  <c r="S161" i="15"/>
  <c r="Q161" i="15"/>
  <c r="M61" i="15"/>
  <c r="J93" i="9" l="1"/>
  <c r="K90" i="9"/>
  <c r="K91" i="9"/>
  <c r="L88" i="9" s="1"/>
  <c r="K62" i="15"/>
  <c r="L161" i="15"/>
  <c r="T161" i="15"/>
  <c r="U161" i="15"/>
  <c r="M161" i="15"/>
  <c r="K163" i="15"/>
  <c r="F163" i="15"/>
  <c r="G163" i="15"/>
  <c r="P162" i="15"/>
  <c r="E163" i="15"/>
  <c r="B163" i="15"/>
  <c r="I163" i="15"/>
  <c r="V162" i="15"/>
  <c r="C163" i="15"/>
  <c r="J163" i="15"/>
  <c r="O162" i="15"/>
  <c r="Q162" i="15"/>
  <c r="S162" i="15"/>
  <c r="L91" i="9" l="1"/>
  <c r="M88" i="9" s="1"/>
  <c r="L90" i="9"/>
  <c r="K93" i="9"/>
  <c r="O163" i="15"/>
  <c r="E164" i="15"/>
  <c r="B164" i="15"/>
  <c r="P163" i="15"/>
  <c r="I164" i="15"/>
  <c r="F164" i="15"/>
  <c r="J164" i="15"/>
  <c r="V163" i="15"/>
  <c r="K164" i="15"/>
  <c r="C164" i="15"/>
  <c r="G164" i="15"/>
  <c r="S163" i="15"/>
  <c r="Q163" i="15"/>
  <c r="J62" i="15"/>
  <c r="V62" i="15"/>
  <c r="T162" i="15"/>
  <c r="U162" i="15"/>
  <c r="M162" i="15"/>
  <c r="L162" i="15"/>
  <c r="M90" i="9" l="1"/>
  <c r="M91" i="9"/>
  <c r="N88" i="9" s="1"/>
  <c r="L93" i="9"/>
  <c r="L163" i="15"/>
  <c r="T163" i="15"/>
  <c r="U163" i="15"/>
  <c r="M163" i="15"/>
  <c r="K165" i="15"/>
  <c r="I165" i="15"/>
  <c r="O164" i="15"/>
  <c r="J165" i="15"/>
  <c r="C165" i="15"/>
  <c r="P164" i="15"/>
  <c r="G165" i="15"/>
  <c r="V164" i="15"/>
  <c r="B165" i="15"/>
  <c r="F165" i="15"/>
  <c r="E165" i="15"/>
  <c r="S164" i="15"/>
  <c r="Q164" i="15"/>
  <c r="T62" i="15"/>
  <c r="I63" i="15"/>
  <c r="M62" i="15"/>
  <c r="L62" i="15"/>
  <c r="N91" i="9" l="1"/>
  <c r="O91" i="9" s="1"/>
  <c r="N90" i="9"/>
  <c r="M93" i="9"/>
  <c r="O90" i="9"/>
  <c r="M164" i="15"/>
  <c r="T164" i="15"/>
  <c r="U164" i="15"/>
  <c r="L164" i="15"/>
  <c r="K63" i="15"/>
  <c r="S63" i="15"/>
  <c r="U62" i="15"/>
  <c r="Q62" i="15"/>
  <c r="P165" i="15"/>
  <c r="J166" i="15"/>
  <c r="C166" i="15"/>
  <c r="O165" i="15"/>
  <c r="F166" i="15"/>
  <c r="G166" i="15"/>
  <c r="E166" i="15"/>
  <c r="I166" i="15"/>
  <c r="B166" i="15"/>
  <c r="V165" i="15"/>
  <c r="K166" i="15"/>
  <c r="Q165" i="15"/>
  <c r="S165" i="15"/>
  <c r="N93" i="9" l="1"/>
  <c r="O93" i="9" s="1"/>
  <c r="C97" i="9"/>
  <c r="K167" i="15"/>
  <c r="F167" i="15"/>
  <c r="G167" i="15"/>
  <c r="P166" i="15"/>
  <c r="E167" i="15"/>
  <c r="B167" i="15"/>
  <c r="J167" i="15"/>
  <c r="O166" i="15"/>
  <c r="V166" i="15"/>
  <c r="I167" i="15"/>
  <c r="C167" i="15"/>
  <c r="S166" i="15"/>
  <c r="Q166" i="15"/>
  <c r="J63" i="15"/>
  <c r="T63" i="15" s="1"/>
  <c r="V63" i="15"/>
  <c r="L165" i="15"/>
  <c r="U165" i="15"/>
  <c r="T165" i="15"/>
  <c r="M165" i="15"/>
  <c r="C99" i="9" l="1"/>
  <c r="C100" i="9"/>
  <c r="D97" i="9" s="1"/>
  <c r="U63" i="15"/>
  <c r="L63" i="15"/>
  <c r="M63" i="15"/>
  <c r="S64" i="15"/>
  <c r="M166" i="15"/>
  <c r="T166" i="15"/>
  <c r="L166" i="15"/>
  <c r="U166" i="15"/>
  <c r="Q63" i="15"/>
  <c r="I64" i="15"/>
  <c r="O167" i="15"/>
  <c r="E168" i="15"/>
  <c r="B168" i="15"/>
  <c r="P167" i="15"/>
  <c r="I168" i="15"/>
  <c r="V167" i="15"/>
  <c r="C168" i="15"/>
  <c r="K168" i="15"/>
  <c r="G168" i="15"/>
  <c r="F168" i="15"/>
  <c r="J168" i="15"/>
  <c r="S167" i="15"/>
  <c r="Q167" i="15"/>
  <c r="D99" i="9" l="1"/>
  <c r="D100" i="9"/>
  <c r="E97" i="9" s="1"/>
  <c r="C102" i="9"/>
  <c r="T167" i="15"/>
  <c r="U167" i="15"/>
  <c r="L167" i="15"/>
  <c r="M167" i="15"/>
  <c r="K64" i="15"/>
  <c r="K169" i="15"/>
  <c r="I169" i="15"/>
  <c r="O168" i="15"/>
  <c r="J169" i="15"/>
  <c r="C169" i="15"/>
  <c r="F169" i="15"/>
  <c r="E169" i="15"/>
  <c r="G169" i="15"/>
  <c r="B169" i="15"/>
  <c r="P168" i="15"/>
  <c r="V168" i="15"/>
  <c r="S168" i="15"/>
  <c r="Q168" i="15"/>
  <c r="E100" i="9" l="1"/>
  <c r="F97" i="9" s="1"/>
  <c r="E99" i="9"/>
  <c r="D102" i="9"/>
  <c r="P169" i="15"/>
  <c r="J170" i="15"/>
  <c r="C170" i="15"/>
  <c r="O169" i="15"/>
  <c r="F170" i="15"/>
  <c r="G170" i="15"/>
  <c r="V169" i="15"/>
  <c r="B170" i="15"/>
  <c r="K170" i="15"/>
  <c r="E170" i="15"/>
  <c r="I170" i="15"/>
  <c r="Q169" i="15"/>
  <c r="S169" i="15"/>
  <c r="J64" i="15"/>
  <c r="V64" i="15"/>
  <c r="U168" i="15"/>
  <c r="T168" i="15"/>
  <c r="L168" i="15"/>
  <c r="M168" i="15"/>
  <c r="E102" i="9" l="1"/>
  <c r="F99" i="9"/>
  <c r="F100" i="9"/>
  <c r="G97" i="9" s="1"/>
  <c r="K171" i="15"/>
  <c r="F171" i="15"/>
  <c r="G171" i="15"/>
  <c r="P170" i="15"/>
  <c r="E171" i="15"/>
  <c r="B171" i="15"/>
  <c r="I171" i="15"/>
  <c r="V170" i="15"/>
  <c r="C171" i="15"/>
  <c r="O170" i="15"/>
  <c r="J171" i="15"/>
  <c r="Q170" i="15"/>
  <c r="S170" i="15"/>
  <c r="I65" i="15"/>
  <c r="T64" i="15"/>
  <c r="L64" i="15"/>
  <c r="M64" i="15"/>
  <c r="T169" i="15"/>
  <c r="L169" i="15"/>
  <c r="U169" i="15"/>
  <c r="M169" i="15"/>
  <c r="F102" i="9" l="1"/>
  <c r="G99" i="9"/>
  <c r="G100" i="9"/>
  <c r="H97" i="9" s="1"/>
  <c r="T170" i="15"/>
  <c r="L170" i="15"/>
  <c r="U170" i="15"/>
  <c r="M170" i="15"/>
  <c r="S65" i="15"/>
  <c r="U64" i="15"/>
  <c r="K65" i="15"/>
  <c r="Q64" i="15"/>
  <c r="P171" i="15"/>
  <c r="E172" i="15"/>
  <c r="B172" i="15"/>
  <c r="V171" i="15"/>
  <c r="I172" i="15"/>
  <c r="F172" i="15"/>
  <c r="J172" i="15"/>
  <c r="C172" i="15"/>
  <c r="G172" i="15"/>
  <c r="O171" i="15"/>
  <c r="K172" i="15"/>
  <c r="S171" i="15"/>
  <c r="Q171" i="15"/>
  <c r="G102" i="9" l="1"/>
  <c r="H99" i="9"/>
  <c r="H100" i="9"/>
  <c r="I97" i="9" s="1"/>
  <c r="M171" i="15"/>
  <c r="T171" i="15"/>
  <c r="U171" i="15"/>
  <c r="L171" i="15"/>
  <c r="O172" i="15"/>
  <c r="J173" i="15"/>
  <c r="C173" i="15"/>
  <c r="P172" i="15"/>
  <c r="F173" i="15"/>
  <c r="G173" i="15"/>
  <c r="E173" i="15"/>
  <c r="I173" i="15"/>
  <c r="V172" i="15"/>
  <c r="K173" i="15"/>
  <c r="B173" i="15"/>
  <c r="S172" i="15"/>
  <c r="Q172" i="15"/>
  <c r="J65" i="15"/>
  <c r="V65" i="15"/>
  <c r="H102" i="9" l="1"/>
  <c r="I100" i="9"/>
  <c r="J97" i="9" s="1"/>
  <c r="I99" i="9"/>
  <c r="I66" i="15"/>
  <c r="L172" i="15"/>
  <c r="T172" i="15"/>
  <c r="M172" i="15"/>
  <c r="U172" i="15"/>
  <c r="L65" i="15"/>
  <c r="V173" i="15"/>
  <c r="F174" i="15"/>
  <c r="G174" i="15"/>
  <c r="O173" i="15"/>
  <c r="E174" i="15"/>
  <c r="B174" i="15"/>
  <c r="K174" i="15"/>
  <c r="J174" i="15"/>
  <c r="I174" i="15"/>
  <c r="C174" i="15"/>
  <c r="P173" i="15"/>
  <c r="S173" i="15"/>
  <c r="Q173" i="15"/>
  <c r="T65" i="15"/>
  <c r="M65" i="15"/>
  <c r="J100" i="9" l="1"/>
  <c r="K97" i="9" s="1"/>
  <c r="J99" i="9"/>
  <c r="I102" i="9"/>
  <c r="L173" i="15"/>
  <c r="U173" i="15"/>
  <c r="T173" i="15"/>
  <c r="M173" i="15"/>
  <c r="K66" i="15"/>
  <c r="U65" i="15"/>
  <c r="S66" i="15"/>
  <c r="O174" i="15"/>
  <c r="E175" i="15"/>
  <c r="B175" i="15"/>
  <c r="J175" i="15"/>
  <c r="I175" i="15"/>
  <c r="V174" i="15"/>
  <c r="C175" i="15"/>
  <c r="K175" i="15"/>
  <c r="G175" i="15"/>
  <c r="F175" i="15"/>
  <c r="P174" i="15"/>
  <c r="S174" i="15"/>
  <c r="Q174" i="15"/>
  <c r="Q65" i="15"/>
  <c r="K100" i="9" l="1"/>
  <c r="L97" i="9" s="1"/>
  <c r="K99" i="9"/>
  <c r="J102" i="9"/>
  <c r="T174" i="15"/>
  <c r="L174" i="15"/>
  <c r="U174" i="15"/>
  <c r="M174" i="15"/>
  <c r="K176" i="15"/>
  <c r="I176" i="15"/>
  <c r="O175" i="15"/>
  <c r="F176" i="15"/>
  <c r="C176" i="15"/>
  <c r="J176" i="15"/>
  <c r="E176" i="15"/>
  <c r="V175" i="15"/>
  <c r="P175" i="15"/>
  <c r="G176" i="15"/>
  <c r="B176" i="15"/>
  <c r="Q175" i="15"/>
  <c r="S175" i="15"/>
  <c r="J66" i="15"/>
  <c r="T66" i="15" s="1"/>
  <c r="V66" i="15"/>
  <c r="L100" i="9" l="1"/>
  <c r="M97" i="9" s="1"/>
  <c r="L99" i="9"/>
  <c r="K102" i="9"/>
  <c r="S67" i="15"/>
  <c r="U66" i="15"/>
  <c r="Q66" i="15"/>
  <c r="I67" i="15"/>
  <c r="O176" i="15"/>
  <c r="J177" i="15"/>
  <c r="C177" i="15"/>
  <c r="P176" i="15"/>
  <c r="F177" i="15"/>
  <c r="G177" i="15"/>
  <c r="V176" i="15"/>
  <c r="B177" i="15"/>
  <c r="K177" i="15"/>
  <c r="E177" i="15"/>
  <c r="I177" i="15"/>
  <c r="S176" i="15"/>
  <c r="Q176" i="15"/>
  <c r="L66" i="15"/>
  <c r="T175" i="15"/>
  <c r="U175" i="15"/>
  <c r="L175" i="15"/>
  <c r="M175" i="15"/>
  <c r="M66" i="15"/>
  <c r="M100" i="9" l="1"/>
  <c r="N97" i="9" s="1"/>
  <c r="M99" i="9"/>
  <c r="L102" i="9"/>
  <c r="U176" i="15"/>
  <c r="L176" i="15"/>
  <c r="T176" i="15"/>
  <c r="M176" i="15"/>
  <c r="V177" i="15"/>
  <c r="F178" i="15"/>
  <c r="G178" i="15"/>
  <c r="K178" i="15"/>
  <c r="E178" i="15"/>
  <c r="B178" i="15"/>
  <c r="I178" i="15"/>
  <c r="P177" i="15"/>
  <c r="C178" i="15"/>
  <c r="O177" i="15"/>
  <c r="J178" i="15"/>
  <c r="Q177" i="15"/>
  <c r="S177" i="15"/>
  <c r="K67" i="15"/>
  <c r="M102" i="9" l="1"/>
  <c r="N99" i="9"/>
  <c r="N100" i="9"/>
  <c r="O100" i="9" s="1"/>
  <c r="J67" i="15"/>
  <c r="M67" i="15" s="1"/>
  <c r="V67" i="15"/>
  <c r="K179" i="15"/>
  <c r="E179" i="15"/>
  <c r="B179" i="15"/>
  <c r="O178" i="15"/>
  <c r="I179" i="15"/>
  <c r="J179" i="15"/>
  <c r="F179" i="15"/>
  <c r="V178" i="15"/>
  <c r="P178" i="15"/>
  <c r="C179" i="15"/>
  <c r="G179" i="15"/>
  <c r="Q178" i="15"/>
  <c r="S178" i="15"/>
  <c r="U177" i="15"/>
  <c r="M177" i="15"/>
  <c r="L177" i="15"/>
  <c r="T177" i="15"/>
  <c r="C106" i="9" l="1"/>
  <c r="C108" i="9" s="1"/>
  <c r="N102" i="9"/>
  <c r="O102" i="9" s="1"/>
  <c r="O99" i="9"/>
  <c r="L178" i="15"/>
  <c r="U178" i="15"/>
  <c r="M178" i="15"/>
  <c r="T178" i="15"/>
  <c r="V179" i="15"/>
  <c r="I180" i="15"/>
  <c r="O179" i="15"/>
  <c r="J180" i="15"/>
  <c r="C180" i="15"/>
  <c r="K180" i="15"/>
  <c r="G180" i="15"/>
  <c r="P179" i="15"/>
  <c r="B180" i="15"/>
  <c r="F180" i="15"/>
  <c r="E180" i="15"/>
  <c r="Q179" i="15"/>
  <c r="S179" i="15"/>
  <c r="I68" i="15"/>
  <c r="T67" i="15"/>
  <c r="Q67" i="15" s="1"/>
  <c r="L67" i="15"/>
  <c r="C109" i="9" l="1"/>
  <c r="D106" i="9" s="1"/>
  <c r="D108" i="9" s="1"/>
  <c r="U179" i="15"/>
  <c r="L179" i="15"/>
  <c r="T179" i="15"/>
  <c r="M179" i="15"/>
  <c r="O180" i="15"/>
  <c r="J181" i="15"/>
  <c r="C181" i="15"/>
  <c r="P180" i="15"/>
  <c r="F181" i="15"/>
  <c r="G181" i="15"/>
  <c r="E181" i="15"/>
  <c r="I181" i="15"/>
  <c r="B181" i="15"/>
  <c r="V180" i="15"/>
  <c r="K181" i="15"/>
  <c r="Q180" i="15"/>
  <c r="S180" i="15"/>
  <c r="S68" i="15"/>
  <c r="U67" i="15"/>
  <c r="K68" i="15"/>
  <c r="D109" i="9" l="1"/>
  <c r="E106" i="9" s="1"/>
  <c r="E108" i="9" s="1"/>
  <c r="C111" i="9"/>
  <c r="T180" i="15"/>
  <c r="U180" i="15"/>
  <c r="L180" i="15"/>
  <c r="M180" i="15"/>
  <c r="V181" i="15"/>
  <c r="F182" i="15"/>
  <c r="G182" i="15"/>
  <c r="O181" i="15"/>
  <c r="E182" i="15"/>
  <c r="B182" i="15"/>
  <c r="K182" i="15"/>
  <c r="J182" i="15"/>
  <c r="P181" i="15"/>
  <c r="I182" i="15"/>
  <c r="C182" i="15"/>
  <c r="Q181" i="15"/>
  <c r="S181" i="15"/>
  <c r="J68" i="15"/>
  <c r="M68" i="15" s="1"/>
  <c r="V68" i="15"/>
  <c r="E109" i="9" l="1"/>
  <c r="F106" i="9" s="1"/>
  <c r="F108" i="9" s="1"/>
  <c r="D111" i="9"/>
  <c r="T68" i="15"/>
  <c r="U68" i="15" s="1"/>
  <c r="L68" i="15"/>
  <c r="T181" i="15"/>
  <c r="L181" i="15"/>
  <c r="U181" i="15"/>
  <c r="M181" i="15"/>
  <c r="I69" i="15"/>
  <c r="K69" i="15" s="1"/>
  <c r="O182" i="15"/>
  <c r="E183" i="15"/>
  <c r="B183" i="15"/>
  <c r="J183" i="15"/>
  <c r="I183" i="15"/>
  <c r="V182" i="15"/>
  <c r="C183" i="15"/>
  <c r="K183" i="15"/>
  <c r="G183" i="15"/>
  <c r="P182" i="15"/>
  <c r="F183" i="15"/>
  <c r="S182" i="15"/>
  <c r="Q182" i="15"/>
  <c r="F109" i="9" l="1"/>
  <c r="G106" i="9" s="1"/>
  <c r="G109" i="9" s="1"/>
  <c r="H106" i="9" s="1"/>
  <c r="E111" i="9"/>
  <c r="S69" i="15"/>
  <c r="Q68" i="15"/>
  <c r="L182" i="15"/>
  <c r="T182" i="15"/>
  <c r="U182" i="15"/>
  <c r="M182" i="15"/>
  <c r="J69" i="15"/>
  <c r="V69" i="15"/>
  <c r="K184" i="15"/>
  <c r="I184" i="15"/>
  <c r="O183" i="15"/>
  <c r="F184" i="15"/>
  <c r="C184" i="15"/>
  <c r="J184" i="15"/>
  <c r="E184" i="15"/>
  <c r="G184" i="15"/>
  <c r="B184" i="15"/>
  <c r="V183" i="15"/>
  <c r="P183" i="15"/>
  <c r="S183" i="15"/>
  <c r="Q183" i="15"/>
  <c r="G108" i="9" l="1"/>
  <c r="G111" i="9" s="1"/>
  <c r="F111" i="9"/>
  <c r="H109" i="9"/>
  <c r="I106" i="9" s="1"/>
  <c r="H108" i="9"/>
  <c r="T69" i="15"/>
  <c r="U69" i="15" s="1"/>
  <c r="O184" i="15"/>
  <c r="K185" i="15"/>
  <c r="C185" i="15"/>
  <c r="P184" i="15"/>
  <c r="F185" i="15"/>
  <c r="G185" i="15"/>
  <c r="V184" i="15"/>
  <c r="B185" i="15"/>
  <c r="J185" i="15"/>
  <c r="E185" i="15"/>
  <c r="I185" i="15"/>
  <c r="S184" i="15"/>
  <c r="Q184" i="15"/>
  <c r="M69" i="15"/>
  <c r="H11" i="9" s="1"/>
  <c r="H12" i="9" s="1"/>
  <c r="T183" i="15"/>
  <c r="U183" i="15"/>
  <c r="L183" i="15"/>
  <c r="M183" i="15"/>
  <c r="L69" i="15"/>
  <c r="I109" i="9" l="1"/>
  <c r="J106" i="9" s="1"/>
  <c r="I108" i="9"/>
  <c r="H111" i="9"/>
  <c r="Q69" i="15"/>
  <c r="M184" i="15"/>
  <c r="T184" i="15"/>
  <c r="U184" i="15"/>
  <c r="L184" i="15"/>
  <c r="V185" i="15"/>
  <c r="O185" i="15"/>
  <c r="I186" i="15"/>
  <c r="K186" i="15"/>
  <c r="G186" i="15"/>
  <c r="B186" i="15"/>
  <c r="E186" i="15"/>
  <c r="P185" i="15"/>
  <c r="C186" i="15"/>
  <c r="J186" i="15"/>
  <c r="F186" i="15"/>
  <c r="S185" i="15"/>
  <c r="Q185" i="15"/>
  <c r="J108" i="9" l="1"/>
  <c r="J109" i="9"/>
  <c r="K106" i="9" s="1"/>
  <c r="I111" i="9"/>
  <c r="K187" i="15"/>
  <c r="G187" i="15"/>
  <c r="C187" i="15"/>
  <c r="O186" i="15"/>
  <c r="B187" i="15"/>
  <c r="J187" i="15"/>
  <c r="F187" i="15"/>
  <c r="I187" i="15"/>
  <c r="E187" i="15"/>
  <c r="V186" i="15"/>
  <c r="P186" i="15"/>
  <c r="Q186" i="15"/>
  <c r="S186" i="15"/>
  <c r="L185" i="15"/>
  <c r="T185" i="15"/>
  <c r="U185" i="15"/>
  <c r="M185" i="15"/>
  <c r="J111" i="9" l="1"/>
  <c r="K108" i="9"/>
  <c r="K109" i="9"/>
  <c r="L106" i="9" s="1"/>
  <c r="T186" i="15"/>
  <c r="L186" i="15"/>
  <c r="U186" i="15"/>
  <c r="M186" i="15"/>
  <c r="V187" i="15"/>
  <c r="B188" i="15"/>
  <c r="O187" i="15"/>
  <c r="F188" i="15"/>
  <c r="E188" i="15"/>
  <c r="K188" i="15"/>
  <c r="C188" i="15"/>
  <c r="P187" i="15"/>
  <c r="I188" i="15"/>
  <c r="J188" i="15"/>
  <c r="G188" i="15"/>
  <c r="Q187" i="15"/>
  <c r="S187" i="15"/>
  <c r="L109" i="9" l="1"/>
  <c r="M106" i="9" s="1"/>
  <c r="L108" i="9"/>
  <c r="K111" i="9"/>
  <c r="O188" i="15"/>
  <c r="J189" i="15"/>
  <c r="I189" i="15"/>
  <c r="P188" i="15"/>
  <c r="F189" i="15"/>
  <c r="E189" i="15"/>
  <c r="G189" i="15"/>
  <c r="B189" i="15"/>
  <c r="V188" i="15"/>
  <c r="K189" i="15"/>
  <c r="C189" i="15"/>
  <c r="Q188" i="15"/>
  <c r="S188" i="15"/>
  <c r="L187" i="15"/>
  <c r="M187" i="15"/>
  <c r="T187" i="15"/>
  <c r="U187" i="15"/>
  <c r="L111" i="9" l="1"/>
  <c r="M109" i="9"/>
  <c r="N106" i="9" s="1"/>
  <c r="M108" i="9"/>
  <c r="V189" i="15"/>
  <c r="F190" i="15"/>
  <c r="C190" i="15"/>
  <c r="O189" i="15"/>
  <c r="G190" i="15"/>
  <c r="I190" i="15"/>
  <c r="K190" i="15"/>
  <c r="J190" i="15"/>
  <c r="B190" i="15"/>
  <c r="E190" i="15"/>
  <c r="P189" i="15"/>
  <c r="S189" i="15"/>
  <c r="Q189" i="15"/>
  <c r="M188" i="15"/>
  <c r="U188" i="15"/>
  <c r="L188" i="15"/>
  <c r="T188" i="15"/>
  <c r="N108" i="9" l="1"/>
  <c r="O108" i="9" s="1"/>
  <c r="N109" i="9"/>
  <c r="O109" i="9" s="1"/>
  <c r="M111" i="9"/>
  <c r="O190" i="15"/>
  <c r="G191" i="15"/>
  <c r="C191" i="15"/>
  <c r="P190" i="15"/>
  <c r="B191" i="15"/>
  <c r="V190" i="15"/>
  <c r="I191" i="15"/>
  <c r="K191" i="15"/>
  <c r="E191" i="15"/>
  <c r="J191" i="15"/>
  <c r="F191" i="15"/>
  <c r="Q190" i="15"/>
  <c r="S190" i="15"/>
  <c r="L189" i="15"/>
  <c r="T189" i="15"/>
  <c r="U189" i="15"/>
  <c r="M189" i="15"/>
  <c r="C115" i="9" l="1"/>
  <c r="C118" i="9" s="1"/>
  <c r="D115" i="9" s="1"/>
  <c r="N111" i="9"/>
  <c r="O111" i="9" s="1"/>
  <c r="T190" i="15"/>
  <c r="L190" i="15"/>
  <c r="U190" i="15"/>
  <c r="M190" i="15"/>
  <c r="K192" i="15"/>
  <c r="B192" i="15"/>
  <c r="O191" i="15"/>
  <c r="F192" i="15"/>
  <c r="E192" i="15"/>
  <c r="J192" i="15"/>
  <c r="G192" i="15"/>
  <c r="V191" i="15"/>
  <c r="P191" i="15"/>
  <c r="C192" i="15"/>
  <c r="I192" i="15"/>
  <c r="Q191" i="15"/>
  <c r="S191" i="15"/>
  <c r="C117" i="9" l="1"/>
  <c r="C120" i="9" s="1"/>
  <c r="D118" i="9"/>
  <c r="E115" i="9" s="1"/>
  <c r="D117" i="9"/>
  <c r="O192" i="15"/>
  <c r="J193" i="15"/>
  <c r="G193" i="15"/>
  <c r="P192" i="15"/>
  <c r="F193" i="15"/>
  <c r="B193" i="15"/>
  <c r="V192" i="15"/>
  <c r="E193" i="15"/>
  <c r="K193" i="15"/>
  <c r="I193" i="15"/>
  <c r="C193" i="15"/>
  <c r="Q192" i="15"/>
  <c r="S192" i="15"/>
  <c r="M191" i="15"/>
  <c r="U191" i="15"/>
  <c r="L191" i="15"/>
  <c r="T191" i="15"/>
  <c r="D120" i="9" l="1"/>
  <c r="E118" i="9"/>
  <c r="F115" i="9" s="1"/>
  <c r="E117" i="9"/>
  <c r="V193" i="15"/>
  <c r="F194" i="15"/>
  <c r="B194" i="15"/>
  <c r="K194" i="15"/>
  <c r="I194" i="15"/>
  <c r="E194" i="15"/>
  <c r="C194" i="15"/>
  <c r="P193" i="15"/>
  <c r="G194" i="15"/>
  <c r="O193" i="15"/>
  <c r="J194" i="15"/>
  <c r="S193" i="15"/>
  <c r="Q193" i="15"/>
  <c r="T192" i="15"/>
  <c r="M192" i="15"/>
  <c r="U192" i="15"/>
  <c r="L192" i="15"/>
  <c r="E120" i="9" l="1"/>
  <c r="F117" i="9"/>
  <c r="F118" i="9"/>
  <c r="G115" i="9" s="1"/>
  <c r="K195" i="15"/>
  <c r="I195" i="15"/>
  <c r="E195" i="15"/>
  <c r="O194" i="15"/>
  <c r="C195" i="15"/>
  <c r="J195" i="15"/>
  <c r="F195" i="15"/>
  <c r="V194" i="15"/>
  <c r="P194" i="15"/>
  <c r="G195" i="15"/>
  <c r="B195" i="15"/>
  <c r="Q194" i="15"/>
  <c r="S194" i="15"/>
  <c r="U193" i="15"/>
  <c r="T193" i="15"/>
  <c r="M193" i="15"/>
  <c r="L193" i="15"/>
  <c r="F120" i="9" l="1"/>
  <c r="G117" i="9"/>
  <c r="G118" i="9"/>
  <c r="H115" i="9" s="1"/>
  <c r="F196" i="15"/>
  <c r="C196" i="15"/>
  <c r="O195" i="15"/>
  <c r="V195" i="15"/>
  <c r="G196" i="15"/>
  <c r="K196" i="15"/>
  <c r="B196" i="15"/>
  <c r="P195" i="15"/>
  <c r="E196" i="15"/>
  <c r="J196" i="15"/>
  <c r="I196" i="15"/>
  <c r="S195" i="15"/>
  <c r="Q195" i="15"/>
  <c r="L194" i="15"/>
  <c r="U194" i="15"/>
  <c r="M194" i="15"/>
  <c r="T194" i="15"/>
  <c r="H117" i="9" l="1"/>
  <c r="H118" i="9"/>
  <c r="I115" i="9" s="1"/>
  <c r="G120" i="9"/>
  <c r="O196" i="15"/>
  <c r="J197" i="15"/>
  <c r="G197" i="15"/>
  <c r="P196" i="15"/>
  <c r="F197" i="15"/>
  <c r="B197" i="15"/>
  <c r="I197" i="15"/>
  <c r="C197" i="15"/>
  <c r="E197" i="15"/>
  <c r="V196" i="15"/>
  <c r="K197" i="15"/>
  <c r="Q196" i="15"/>
  <c r="S196" i="15"/>
  <c r="T195" i="15"/>
  <c r="U195" i="15"/>
  <c r="L195" i="15"/>
  <c r="M195" i="15"/>
  <c r="I118" i="9" l="1"/>
  <c r="J115" i="9" s="1"/>
  <c r="I117" i="9"/>
  <c r="H120" i="9"/>
  <c r="V197" i="15"/>
  <c r="F198" i="15"/>
  <c r="B198" i="15"/>
  <c r="O197" i="15"/>
  <c r="I198" i="15"/>
  <c r="E198" i="15"/>
  <c r="K198" i="15"/>
  <c r="J198" i="15"/>
  <c r="P197" i="15"/>
  <c r="C198" i="15"/>
  <c r="G198" i="15"/>
  <c r="S197" i="15"/>
  <c r="Q197" i="15"/>
  <c r="U196" i="15"/>
  <c r="L196" i="15"/>
  <c r="M196" i="15"/>
  <c r="T196" i="15"/>
  <c r="I120" i="9" l="1"/>
  <c r="J117" i="9"/>
  <c r="J118" i="9"/>
  <c r="K115" i="9" s="1"/>
  <c r="O198" i="15"/>
  <c r="I199" i="15"/>
  <c r="E199" i="15"/>
  <c r="J199" i="15"/>
  <c r="C199" i="15"/>
  <c r="V198" i="15"/>
  <c r="G199" i="15"/>
  <c r="K199" i="15"/>
  <c r="B199" i="15"/>
  <c r="P198" i="15"/>
  <c r="F199" i="15"/>
  <c r="Q198" i="15"/>
  <c r="S198" i="15"/>
  <c r="U197" i="15"/>
  <c r="T197" i="15"/>
  <c r="M197" i="15"/>
  <c r="L197" i="15"/>
  <c r="K117" i="9" l="1"/>
  <c r="K118" i="9"/>
  <c r="L115" i="9" s="1"/>
  <c r="J120" i="9"/>
  <c r="L198" i="15"/>
  <c r="U198" i="15"/>
  <c r="M198" i="15"/>
  <c r="T198" i="15"/>
  <c r="K200" i="15"/>
  <c r="C200" i="15"/>
  <c r="V199" i="15"/>
  <c r="F200" i="15"/>
  <c r="G200" i="15"/>
  <c r="J200" i="15"/>
  <c r="I200" i="15"/>
  <c r="B200" i="15"/>
  <c r="E200" i="15"/>
  <c r="O199" i="15"/>
  <c r="P199" i="15"/>
  <c r="S199" i="15"/>
  <c r="Q199" i="15"/>
  <c r="K120" i="9" l="1"/>
  <c r="L117" i="9"/>
  <c r="L118" i="9"/>
  <c r="M115" i="9" s="1"/>
  <c r="T199" i="15"/>
  <c r="U199" i="15"/>
  <c r="L199" i="15"/>
  <c r="M199" i="15"/>
  <c r="O200" i="15"/>
  <c r="K201" i="15"/>
  <c r="G201" i="15"/>
  <c r="P200" i="15"/>
  <c r="F201" i="15"/>
  <c r="B201" i="15"/>
  <c r="V200" i="15"/>
  <c r="E201" i="15"/>
  <c r="J201" i="15"/>
  <c r="I201" i="15"/>
  <c r="C201" i="15"/>
  <c r="Q200" i="15"/>
  <c r="S200" i="15"/>
  <c r="L120" i="9" l="1"/>
  <c r="M118" i="9"/>
  <c r="N115" i="9" s="1"/>
  <c r="M117" i="9"/>
  <c r="O201" i="15"/>
  <c r="F202" i="15"/>
  <c r="B202" i="15"/>
  <c r="V201" i="15"/>
  <c r="I202" i="15"/>
  <c r="E202" i="15"/>
  <c r="C202" i="15"/>
  <c r="P201" i="15"/>
  <c r="G202" i="15"/>
  <c r="K202" i="15"/>
  <c r="J202" i="15"/>
  <c r="Q201" i="15"/>
  <c r="S201" i="15"/>
  <c r="M200" i="15"/>
  <c r="U200" i="15"/>
  <c r="L200" i="15"/>
  <c r="T200" i="15"/>
  <c r="M120" i="9" l="1"/>
  <c r="N118" i="9"/>
  <c r="O118" i="9" s="1"/>
  <c r="N117" i="9"/>
  <c r="T201" i="15"/>
  <c r="U201" i="15"/>
  <c r="M201" i="15"/>
  <c r="L201" i="15"/>
  <c r="K203" i="15"/>
  <c r="I203" i="15"/>
  <c r="E203" i="15"/>
  <c r="O202" i="15"/>
  <c r="C203" i="15"/>
  <c r="J203" i="15"/>
  <c r="F203" i="15"/>
  <c r="G203" i="15"/>
  <c r="B203" i="15"/>
  <c r="V202" i="15"/>
  <c r="P202" i="15"/>
  <c r="Q202" i="15"/>
  <c r="S202" i="15"/>
  <c r="C124" i="9" l="1"/>
  <c r="C127" i="9" s="1"/>
  <c r="D124" i="9" s="1"/>
  <c r="N120" i="9"/>
  <c r="O120" i="9" s="1"/>
  <c r="O117" i="9"/>
  <c r="L202" i="15"/>
  <c r="U202" i="15"/>
  <c r="M202" i="15"/>
  <c r="T202" i="15"/>
  <c r="P203" i="15"/>
  <c r="C204" i="15"/>
  <c r="V203" i="15"/>
  <c r="J204" i="15"/>
  <c r="G204" i="15"/>
  <c r="O203" i="15"/>
  <c r="B204" i="15"/>
  <c r="K204" i="15"/>
  <c r="E204" i="15"/>
  <c r="F204" i="15"/>
  <c r="I204" i="15"/>
  <c r="S203" i="15"/>
  <c r="Q203" i="15"/>
  <c r="C126" i="9" l="1"/>
  <c r="C129" i="9" s="1"/>
  <c r="D127" i="9"/>
  <c r="E124" i="9" s="1"/>
  <c r="D126" i="9"/>
  <c r="O204" i="15"/>
  <c r="J205" i="15"/>
  <c r="G205" i="15"/>
  <c r="P204" i="15"/>
  <c r="F205" i="15"/>
  <c r="B205" i="15"/>
  <c r="I205" i="15"/>
  <c r="C205" i="15"/>
  <c r="V204" i="15"/>
  <c r="K205" i="15"/>
  <c r="E205" i="15"/>
  <c r="Q204" i="15"/>
  <c r="S204" i="15"/>
  <c r="T203" i="15"/>
  <c r="U203" i="15"/>
  <c r="L203" i="15"/>
  <c r="M203" i="15"/>
  <c r="D129" i="9" l="1"/>
  <c r="E126" i="9"/>
  <c r="E127" i="9"/>
  <c r="F124" i="9" s="1"/>
  <c r="M204" i="15"/>
  <c r="U204" i="15"/>
  <c r="L204" i="15"/>
  <c r="T204" i="15"/>
  <c r="O205" i="15"/>
  <c r="F206" i="15"/>
  <c r="B206" i="15"/>
  <c r="V205" i="15"/>
  <c r="I206" i="15"/>
  <c r="E206" i="15"/>
  <c r="K206" i="15"/>
  <c r="J206" i="15"/>
  <c r="C206" i="15"/>
  <c r="G206" i="15"/>
  <c r="P205" i="15"/>
  <c r="Q205" i="15"/>
  <c r="S205" i="15"/>
  <c r="F127" i="9" l="1"/>
  <c r="G124" i="9" s="1"/>
  <c r="F126" i="9"/>
  <c r="E129" i="9"/>
  <c r="T205" i="15"/>
  <c r="M205" i="15"/>
  <c r="L205" i="15"/>
  <c r="U205" i="15"/>
  <c r="O206" i="15"/>
  <c r="E207" i="15"/>
  <c r="B207" i="15"/>
  <c r="K207" i="15"/>
  <c r="I207" i="15"/>
  <c r="V206" i="15"/>
  <c r="C207" i="15"/>
  <c r="P206" i="15"/>
  <c r="G207" i="15"/>
  <c r="J207" i="15"/>
  <c r="F207" i="15"/>
  <c r="S206" i="15"/>
  <c r="Q206" i="15"/>
  <c r="F129" i="9" l="1"/>
  <c r="G127" i="9"/>
  <c r="H124" i="9" s="1"/>
  <c r="G126" i="9"/>
  <c r="M206" i="15"/>
  <c r="T206" i="15"/>
  <c r="L206" i="15"/>
  <c r="U206" i="15"/>
  <c r="P207" i="15"/>
  <c r="I208" i="15"/>
  <c r="V207" i="15"/>
  <c r="F208" i="15"/>
  <c r="C208" i="15"/>
  <c r="J208" i="15"/>
  <c r="E208" i="15"/>
  <c r="O207" i="15"/>
  <c r="K208" i="15"/>
  <c r="G208" i="15"/>
  <c r="B208" i="15"/>
  <c r="S207" i="15"/>
  <c r="Q207" i="15"/>
  <c r="G129" i="9" l="1"/>
  <c r="H127" i="9"/>
  <c r="I124" i="9" s="1"/>
  <c r="H126" i="9"/>
  <c r="O208" i="15"/>
  <c r="J209" i="15"/>
  <c r="C209" i="15"/>
  <c r="P208" i="15"/>
  <c r="F209" i="15"/>
  <c r="G209" i="15"/>
  <c r="K209" i="15"/>
  <c r="B209" i="15"/>
  <c r="V208" i="15"/>
  <c r="E209" i="15"/>
  <c r="I209" i="15"/>
  <c r="S208" i="15"/>
  <c r="Q208" i="15"/>
  <c r="U207" i="15"/>
  <c r="T207" i="15"/>
  <c r="L207" i="15"/>
  <c r="M207" i="15"/>
  <c r="H129" i="9" l="1"/>
  <c r="I126" i="9"/>
  <c r="I127" i="9"/>
  <c r="J124" i="9" s="1"/>
  <c r="U208" i="15"/>
  <c r="L208" i="15"/>
  <c r="T208" i="15"/>
  <c r="M208" i="15"/>
  <c r="O209" i="15"/>
  <c r="F210" i="15"/>
  <c r="G210" i="15"/>
  <c r="V209" i="15"/>
  <c r="E210" i="15"/>
  <c r="B210" i="15"/>
  <c r="I210" i="15"/>
  <c r="P209" i="15"/>
  <c r="C210" i="15"/>
  <c r="K210" i="15"/>
  <c r="J210" i="15"/>
  <c r="Q209" i="15"/>
  <c r="S209" i="15"/>
  <c r="J127" i="9" l="1"/>
  <c r="K124" i="9" s="1"/>
  <c r="J126" i="9"/>
  <c r="I129" i="9"/>
  <c r="M209" i="15"/>
  <c r="L209" i="15"/>
  <c r="T209" i="15"/>
  <c r="U209" i="15"/>
  <c r="K211" i="15"/>
  <c r="E211" i="15"/>
  <c r="B211" i="15"/>
  <c r="O210" i="15"/>
  <c r="I211" i="15"/>
  <c r="J211" i="15"/>
  <c r="F211" i="15"/>
  <c r="V210" i="15"/>
  <c r="P210" i="15"/>
  <c r="C211" i="15"/>
  <c r="G211" i="15"/>
  <c r="Q210" i="15"/>
  <c r="S210" i="15"/>
  <c r="J129" i="9" l="1"/>
  <c r="K126" i="9"/>
  <c r="K127" i="9"/>
  <c r="L124" i="9" s="1"/>
  <c r="K212" i="15"/>
  <c r="I212" i="15"/>
  <c r="V211" i="15"/>
  <c r="J212" i="15"/>
  <c r="C212" i="15"/>
  <c r="O211" i="15"/>
  <c r="G212" i="15"/>
  <c r="P211" i="15"/>
  <c r="B212" i="15"/>
  <c r="F212" i="15"/>
  <c r="E212" i="15"/>
  <c r="Q211" i="15"/>
  <c r="S211" i="15"/>
  <c r="U210" i="15"/>
  <c r="M210" i="15"/>
  <c r="T210" i="15"/>
  <c r="L210" i="15"/>
  <c r="L126" i="9" l="1"/>
  <c r="L127" i="9"/>
  <c r="M124" i="9" s="1"/>
  <c r="K129" i="9"/>
  <c r="T211" i="15"/>
  <c r="U211" i="15"/>
  <c r="L211" i="15"/>
  <c r="M211" i="15"/>
  <c r="O212" i="15"/>
  <c r="J213" i="15"/>
  <c r="C213" i="15"/>
  <c r="P212" i="15"/>
  <c r="F213" i="15"/>
  <c r="G213" i="15"/>
  <c r="E213" i="15"/>
  <c r="I213" i="15"/>
  <c r="B213" i="15"/>
  <c r="V212" i="15"/>
  <c r="K213" i="15"/>
  <c r="S212" i="15"/>
  <c r="Q212" i="15"/>
  <c r="M127" i="9" l="1"/>
  <c r="N124" i="9" s="1"/>
  <c r="M126" i="9"/>
  <c r="L129" i="9"/>
  <c r="O213" i="15"/>
  <c r="F214" i="15"/>
  <c r="G214" i="15"/>
  <c r="V213" i="15"/>
  <c r="E214" i="15"/>
  <c r="B214" i="15"/>
  <c r="K214" i="15"/>
  <c r="J214" i="15"/>
  <c r="P213" i="15"/>
  <c r="I214" i="15"/>
  <c r="C214" i="15"/>
  <c r="Q213" i="15"/>
  <c r="S213" i="15"/>
  <c r="U212" i="15"/>
  <c r="L212" i="15"/>
  <c r="T212" i="15"/>
  <c r="M212" i="15"/>
  <c r="N126" i="9" l="1"/>
  <c r="N127" i="9"/>
  <c r="O127" i="9" s="1"/>
  <c r="M129" i="9"/>
  <c r="K215" i="15"/>
  <c r="E215" i="15"/>
  <c r="B215" i="15"/>
  <c r="J215" i="15"/>
  <c r="I215" i="15"/>
  <c r="V214" i="15"/>
  <c r="C215" i="15"/>
  <c r="P214" i="15"/>
  <c r="G215" i="15"/>
  <c r="O214" i="15"/>
  <c r="F215" i="15"/>
  <c r="Q214" i="15"/>
  <c r="S214" i="15"/>
  <c r="M213" i="15"/>
  <c r="L213" i="15"/>
  <c r="U213" i="15"/>
  <c r="T213" i="15"/>
  <c r="N129" i="9" l="1"/>
  <c r="O129" i="9" s="1"/>
  <c r="O126" i="9"/>
  <c r="C133" i="9"/>
  <c r="F216" i="15"/>
  <c r="I216" i="15"/>
  <c r="V215" i="15"/>
  <c r="K216" i="15"/>
  <c r="C216" i="15"/>
  <c r="J216" i="15"/>
  <c r="E216" i="15"/>
  <c r="G216" i="15"/>
  <c r="B216" i="15"/>
  <c r="O215" i="15"/>
  <c r="P215" i="15"/>
  <c r="Q215" i="15"/>
  <c r="S215" i="15"/>
  <c r="U214" i="15"/>
  <c r="M214" i="15"/>
  <c r="T214" i="15"/>
  <c r="L214" i="15"/>
  <c r="C135" i="9" l="1"/>
  <c r="C136" i="9"/>
  <c r="D133" i="9" s="1"/>
  <c r="T215" i="15"/>
  <c r="U215" i="15"/>
  <c r="L215" i="15"/>
  <c r="M215" i="15"/>
  <c r="O216" i="15"/>
  <c r="J217" i="15"/>
  <c r="C217" i="15"/>
  <c r="P216" i="15"/>
  <c r="F217" i="15"/>
  <c r="G217" i="15"/>
  <c r="V216" i="15"/>
  <c r="B217" i="15"/>
  <c r="K217" i="15"/>
  <c r="E217" i="15"/>
  <c r="I217" i="15"/>
  <c r="S216" i="15"/>
  <c r="Q216" i="15"/>
  <c r="D135" i="9" l="1"/>
  <c r="D136" i="9"/>
  <c r="E133" i="9" s="1"/>
  <c r="C138" i="9"/>
  <c r="O217" i="15"/>
  <c r="F218" i="15"/>
  <c r="G218" i="15"/>
  <c r="V217" i="15"/>
  <c r="E218" i="15"/>
  <c r="B218" i="15"/>
  <c r="I218" i="15"/>
  <c r="P217" i="15"/>
  <c r="C218" i="15"/>
  <c r="K218" i="15"/>
  <c r="J218" i="15"/>
  <c r="Q217" i="15"/>
  <c r="S217" i="15"/>
  <c r="U216" i="15"/>
  <c r="L216" i="15"/>
  <c r="T216" i="15"/>
  <c r="M216" i="15"/>
  <c r="D138" i="9" l="1"/>
  <c r="E135" i="9"/>
  <c r="E136" i="9"/>
  <c r="F133" i="9" s="1"/>
  <c r="K219" i="15"/>
  <c r="E219" i="15"/>
  <c r="B219" i="15"/>
  <c r="O218" i="15"/>
  <c r="I219" i="15"/>
  <c r="J219" i="15"/>
  <c r="F219" i="15"/>
  <c r="C219" i="15"/>
  <c r="G219" i="15"/>
  <c r="V218" i="15"/>
  <c r="P218" i="15"/>
  <c r="Q218" i="15"/>
  <c r="S218" i="15"/>
  <c r="M217" i="15"/>
  <c r="L217" i="15"/>
  <c r="T217" i="15"/>
  <c r="U217" i="15"/>
  <c r="E138" i="9" l="1"/>
  <c r="F136" i="9"/>
  <c r="G133" i="9" s="1"/>
  <c r="F135" i="9"/>
  <c r="M218" i="15"/>
  <c r="T218" i="15"/>
  <c r="L218" i="15"/>
  <c r="U218" i="15"/>
  <c r="P219" i="15"/>
  <c r="I220" i="15"/>
  <c r="V219" i="15"/>
  <c r="J220" i="15"/>
  <c r="C220" i="15"/>
  <c r="O219" i="15"/>
  <c r="G220" i="15"/>
  <c r="K220" i="15"/>
  <c r="B220" i="15"/>
  <c r="F220" i="15"/>
  <c r="E220" i="15"/>
  <c r="Q219" i="15"/>
  <c r="S219" i="15"/>
  <c r="F138" i="9" l="1"/>
  <c r="G136" i="9"/>
  <c r="H133" i="9" s="1"/>
  <c r="G135" i="9"/>
  <c r="U219" i="15"/>
  <c r="L219" i="15"/>
  <c r="M219" i="15"/>
  <c r="T219" i="15"/>
  <c r="O220" i="15"/>
  <c r="J221" i="15"/>
  <c r="C221" i="15"/>
  <c r="P220" i="15"/>
  <c r="F221" i="15"/>
  <c r="G221" i="15"/>
  <c r="E221" i="15"/>
  <c r="I221" i="15"/>
  <c r="V220" i="15"/>
  <c r="K221" i="15"/>
  <c r="B221" i="15"/>
  <c r="Q220" i="15"/>
  <c r="S220" i="15"/>
  <c r="G138" i="9" l="1"/>
  <c r="H135" i="9"/>
  <c r="H136" i="9"/>
  <c r="I133" i="9" s="1"/>
  <c r="O221" i="15"/>
  <c r="F222" i="15"/>
  <c r="G222" i="15"/>
  <c r="V221" i="15"/>
  <c r="E222" i="15"/>
  <c r="B222" i="15"/>
  <c r="J222" i="15"/>
  <c r="K222" i="15"/>
  <c r="I222" i="15"/>
  <c r="C222" i="15"/>
  <c r="P221" i="15"/>
  <c r="S221" i="15"/>
  <c r="Q221" i="15"/>
  <c r="T220" i="15"/>
  <c r="L220" i="15"/>
  <c r="M220" i="15"/>
  <c r="U220" i="15"/>
  <c r="H138" i="9" l="1"/>
  <c r="I136" i="9"/>
  <c r="J133" i="9" s="1"/>
  <c r="I135" i="9"/>
  <c r="L221" i="15"/>
  <c r="U221" i="15"/>
  <c r="T221" i="15"/>
  <c r="M221" i="15"/>
  <c r="O222" i="15"/>
  <c r="E223" i="15"/>
  <c r="B223" i="15"/>
  <c r="J223" i="15"/>
  <c r="I223" i="15"/>
  <c r="V222" i="15"/>
  <c r="C223" i="15"/>
  <c r="P222" i="15"/>
  <c r="G223" i="15"/>
  <c r="K223" i="15"/>
  <c r="F223" i="15"/>
  <c r="Q222" i="15"/>
  <c r="S222" i="15"/>
  <c r="J135" i="9" l="1"/>
  <c r="J136" i="9"/>
  <c r="K133" i="9" s="1"/>
  <c r="I138" i="9"/>
  <c r="M222" i="15"/>
  <c r="T222" i="15"/>
  <c r="L222" i="15"/>
  <c r="U222" i="15"/>
  <c r="K224" i="15"/>
  <c r="I224" i="15"/>
  <c r="V223" i="15"/>
  <c r="F224" i="15"/>
  <c r="C224" i="15"/>
  <c r="J224" i="15"/>
  <c r="E224" i="15"/>
  <c r="O223" i="15"/>
  <c r="P223" i="15"/>
  <c r="G224" i="15"/>
  <c r="B224" i="15"/>
  <c r="Q223" i="15"/>
  <c r="S223" i="15"/>
  <c r="J138" i="9" l="1"/>
  <c r="K135" i="9"/>
  <c r="K136" i="9"/>
  <c r="L133" i="9" s="1"/>
  <c r="U223" i="15"/>
  <c r="M223" i="15"/>
  <c r="L223" i="15"/>
  <c r="T223" i="15"/>
  <c r="O224" i="15"/>
  <c r="J225" i="15"/>
  <c r="C225" i="15"/>
  <c r="P224" i="15"/>
  <c r="F225" i="15"/>
  <c r="G225" i="15"/>
  <c r="V224" i="15"/>
  <c r="B225" i="15"/>
  <c r="K225" i="15"/>
  <c r="E225" i="15"/>
  <c r="I225" i="15"/>
  <c r="S224" i="15"/>
  <c r="Q224" i="15"/>
  <c r="L135" i="9" l="1"/>
  <c r="L136" i="9"/>
  <c r="M133" i="9" s="1"/>
  <c r="K138" i="9"/>
  <c r="O225" i="15"/>
  <c r="K226" i="15"/>
  <c r="G226" i="15"/>
  <c r="V225" i="15"/>
  <c r="E226" i="15"/>
  <c r="B226" i="15"/>
  <c r="I226" i="15"/>
  <c r="P225" i="15"/>
  <c r="C226" i="15"/>
  <c r="J226" i="15"/>
  <c r="F226" i="15"/>
  <c r="Q225" i="15"/>
  <c r="S225" i="15"/>
  <c r="L224" i="15"/>
  <c r="T224" i="15"/>
  <c r="M224" i="15"/>
  <c r="U224" i="15"/>
  <c r="L138" i="9" l="1"/>
  <c r="M136" i="9"/>
  <c r="N133" i="9" s="1"/>
  <c r="M135" i="9"/>
  <c r="U225" i="15"/>
  <c r="M225" i="15"/>
  <c r="T225" i="15"/>
  <c r="L225" i="15"/>
  <c r="O226" i="15"/>
  <c r="E227" i="15"/>
  <c r="B227" i="15"/>
  <c r="J227" i="15"/>
  <c r="I227" i="15"/>
  <c r="K227" i="15"/>
  <c r="F227" i="15"/>
  <c r="V226" i="15"/>
  <c r="P226" i="15"/>
  <c r="C227" i="15"/>
  <c r="G227" i="15"/>
  <c r="S226" i="15"/>
  <c r="Q226" i="15"/>
  <c r="N135" i="9" l="1"/>
  <c r="N136" i="9"/>
  <c r="O136" i="9" s="1"/>
  <c r="M138" i="9"/>
  <c r="T226" i="15"/>
  <c r="U226" i="15"/>
  <c r="M226" i="15"/>
  <c r="L226" i="15"/>
  <c r="K228" i="15"/>
  <c r="I228" i="15"/>
  <c r="V227" i="15"/>
  <c r="J228" i="15"/>
  <c r="C228" i="15"/>
  <c r="O227" i="15"/>
  <c r="G228" i="15"/>
  <c r="P227" i="15"/>
  <c r="B228" i="15"/>
  <c r="F228" i="15"/>
  <c r="E228" i="15"/>
  <c r="Q227" i="15"/>
  <c r="S227" i="15"/>
  <c r="C142" i="9" l="1"/>
  <c r="C145" i="9" s="1"/>
  <c r="D142" i="9" s="1"/>
  <c r="D145" i="9" s="1"/>
  <c r="E142" i="9" s="1"/>
  <c r="N138" i="9"/>
  <c r="O138" i="9" s="1"/>
  <c r="O135" i="9"/>
  <c r="T227" i="15"/>
  <c r="L227" i="15"/>
  <c r="M227" i="15"/>
  <c r="U227" i="15"/>
  <c r="O228" i="15"/>
  <c r="J229" i="15"/>
  <c r="C229" i="15"/>
  <c r="P228" i="15"/>
  <c r="F229" i="15"/>
  <c r="G229" i="15"/>
  <c r="E229" i="15"/>
  <c r="I229" i="15"/>
  <c r="B229" i="15"/>
  <c r="V228" i="15"/>
  <c r="K229" i="15"/>
  <c r="S228" i="15"/>
  <c r="Q228" i="15"/>
  <c r="D144" i="9" l="1"/>
  <c r="C144" i="9"/>
  <c r="C147" i="9" s="1"/>
  <c r="D147" i="9"/>
  <c r="E144" i="9"/>
  <c r="E145" i="9"/>
  <c r="F142" i="9" s="1"/>
  <c r="O229" i="15"/>
  <c r="K230" i="15"/>
  <c r="G230" i="15"/>
  <c r="V229" i="15"/>
  <c r="E230" i="15"/>
  <c r="B230" i="15"/>
  <c r="J230" i="15"/>
  <c r="F230" i="15"/>
  <c r="P229" i="15"/>
  <c r="I230" i="15"/>
  <c r="C230" i="15"/>
  <c r="S229" i="15"/>
  <c r="Q229" i="15"/>
  <c r="U228" i="15"/>
  <c r="T228" i="15"/>
  <c r="M228" i="15"/>
  <c r="L228" i="15"/>
  <c r="F145" i="9" l="1"/>
  <c r="G142" i="9" s="1"/>
  <c r="F144" i="9"/>
  <c r="E147" i="9"/>
  <c r="J231" i="15"/>
  <c r="E231" i="15"/>
  <c r="B231" i="15"/>
  <c r="O230" i="15"/>
  <c r="I231" i="15"/>
  <c r="V230" i="15"/>
  <c r="C231" i="15"/>
  <c r="P230" i="15"/>
  <c r="G231" i="15"/>
  <c r="K231" i="15"/>
  <c r="F231" i="15"/>
  <c r="Q230" i="15"/>
  <c r="S230" i="15"/>
  <c r="L229" i="15"/>
  <c r="M229" i="15"/>
  <c r="T229" i="15"/>
  <c r="U229" i="15"/>
  <c r="F147" i="9" l="1"/>
  <c r="G145" i="9"/>
  <c r="H142" i="9" s="1"/>
  <c r="G144" i="9"/>
  <c r="U230" i="15"/>
  <c r="T230" i="15"/>
  <c r="M230" i="15"/>
  <c r="L230" i="15"/>
  <c r="K232" i="15"/>
  <c r="I232" i="15"/>
  <c r="V231" i="15"/>
  <c r="F232" i="15"/>
  <c r="C232" i="15"/>
  <c r="J232" i="15"/>
  <c r="E232" i="15"/>
  <c r="G232" i="15"/>
  <c r="B232" i="15"/>
  <c r="O231" i="15"/>
  <c r="P231" i="15"/>
  <c r="Q231" i="15"/>
  <c r="S231" i="15"/>
  <c r="G147" i="9" l="1"/>
  <c r="H145" i="9"/>
  <c r="I142" i="9" s="1"/>
  <c r="H144" i="9"/>
  <c r="O232" i="15"/>
  <c r="J233" i="15"/>
  <c r="C233" i="15"/>
  <c r="P232" i="15"/>
  <c r="F233" i="15"/>
  <c r="G233" i="15"/>
  <c r="V232" i="15"/>
  <c r="B233" i="15"/>
  <c r="K233" i="15"/>
  <c r="E233" i="15"/>
  <c r="I233" i="15"/>
  <c r="S232" i="15"/>
  <c r="Q232" i="15"/>
  <c r="U231" i="15"/>
  <c r="M231" i="15"/>
  <c r="L231" i="15"/>
  <c r="T231" i="15"/>
  <c r="H147" i="9" l="1"/>
  <c r="I144" i="9"/>
  <c r="I145" i="9"/>
  <c r="J142" i="9" s="1"/>
  <c r="T232" i="15"/>
  <c r="L232" i="15"/>
  <c r="M232" i="15"/>
  <c r="U232" i="15"/>
  <c r="O233" i="15"/>
  <c r="K234" i="15"/>
  <c r="G234" i="15"/>
  <c r="V233" i="15"/>
  <c r="E234" i="15"/>
  <c r="B234" i="15"/>
  <c r="I234" i="15"/>
  <c r="P233" i="15"/>
  <c r="C234" i="15"/>
  <c r="J234" i="15"/>
  <c r="F234" i="15"/>
  <c r="Q233" i="15"/>
  <c r="S233" i="15"/>
  <c r="J144" i="9" l="1"/>
  <c r="J145" i="9"/>
  <c r="K142" i="9" s="1"/>
  <c r="I147" i="9"/>
  <c r="M233" i="15"/>
  <c r="L233" i="15"/>
  <c r="U233" i="15"/>
  <c r="T233" i="15"/>
  <c r="O234" i="15"/>
  <c r="E235" i="15"/>
  <c r="B235" i="15"/>
  <c r="J235" i="15"/>
  <c r="I235" i="15"/>
  <c r="K235" i="15"/>
  <c r="F235" i="15"/>
  <c r="C235" i="15"/>
  <c r="G235" i="15"/>
  <c r="V234" i="15"/>
  <c r="P234" i="15"/>
  <c r="Q234" i="15"/>
  <c r="S234" i="15"/>
  <c r="K144" i="9" l="1"/>
  <c r="K145" i="9"/>
  <c r="L142" i="9" s="1"/>
  <c r="J147" i="9"/>
  <c r="M234" i="15"/>
  <c r="L234" i="15"/>
  <c r="T234" i="15"/>
  <c r="U234" i="15"/>
  <c r="J236" i="15"/>
  <c r="I236" i="15"/>
  <c r="V235" i="15"/>
  <c r="F236" i="15"/>
  <c r="C236" i="15"/>
  <c r="O235" i="15"/>
  <c r="G236" i="15"/>
  <c r="K236" i="15"/>
  <c r="B236" i="15"/>
  <c r="P235" i="15"/>
  <c r="E236" i="15"/>
  <c r="Q235" i="15"/>
  <c r="S235" i="15"/>
  <c r="L145" i="9" l="1"/>
  <c r="M142" i="9" s="1"/>
  <c r="L144" i="9"/>
  <c r="K147" i="9"/>
  <c r="M235" i="15"/>
  <c r="U235" i="15"/>
  <c r="T235" i="15"/>
  <c r="L235" i="15"/>
  <c r="O236" i="15"/>
  <c r="J237" i="15"/>
  <c r="C237" i="15"/>
  <c r="P236" i="15"/>
  <c r="F237" i="15"/>
  <c r="G237" i="15"/>
  <c r="E237" i="15"/>
  <c r="I237" i="15"/>
  <c r="V236" i="15"/>
  <c r="K237" i="15"/>
  <c r="B237" i="15"/>
  <c r="S236" i="15"/>
  <c r="Q236" i="15"/>
  <c r="L147" i="9" l="1"/>
  <c r="M144" i="9"/>
  <c r="M145" i="9"/>
  <c r="N142" i="9" s="1"/>
  <c r="T236" i="15"/>
  <c r="U236" i="15"/>
  <c r="M236" i="15"/>
  <c r="L236" i="15"/>
  <c r="O237" i="15"/>
  <c r="F238" i="15"/>
  <c r="G238" i="15"/>
  <c r="V237" i="15"/>
  <c r="E238" i="15"/>
  <c r="B238" i="15"/>
  <c r="J238" i="15"/>
  <c r="K238" i="15"/>
  <c r="I238" i="15"/>
  <c r="C238" i="15"/>
  <c r="P237" i="15"/>
  <c r="S237" i="15"/>
  <c r="Q237" i="15"/>
  <c r="M147" i="9" l="1"/>
  <c r="N145" i="9"/>
  <c r="O145" i="9" s="1"/>
  <c r="N144" i="9"/>
  <c r="U237" i="15"/>
  <c r="T237" i="15"/>
  <c r="L237" i="15"/>
  <c r="M237" i="15"/>
  <c r="O238" i="15"/>
  <c r="E239" i="15"/>
  <c r="B239" i="15"/>
  <c r="J239" i="15"/>
  <c r="I239" i="15"/>
  <c r="V238" i="15"/>
  <c r="C239" i="15"/>
  <c r="P238" i="15"/>
  <c r="G239" i="15"/>
  <c r="K239" i="15"/>
  <c r="F239" i="15"/>
  <c r="Q238" i="15"/>
  <c r="S238" i="15"/>
  <c r="C151" i="9" l="1"/>
  <c r="N147" i="9"/>
  <c r="O147" i="9" s="1"/>
  <c r="O144" i="9"/>
  <c r="M238" i="15"/>
  <c r="L238" i="15"/>
  <c r="T238" i="15"/>
  <c r="U238" i="15"/>
  <c r="K240" i="15"/>
  <c r="I240" i="15"/>
  <c r="V239" i="15"/>
  <c r="F240" i="15"/>
  <c r="C240" i="15"/>
  <c r="J240" i="15"/>
  <c r="E240" i="15"/>
  <c r="O239" i="15"/>
  <c r="P239" i="15"/>
  <c r="G240" i="15"/>
  <c r="B240" i="15"/>
  <c r="Q239" i="15"/>
  <c r="S239" i="15"/>
  <c r="C153" i="9" l="1"/>
  <c r="C154" i="9"/>
  <c r="D151" i="9" s="1"/>
  <c r="U239" i="15"/>
  <c r="M239" i="15"/>
  <c r="T239" i="15"/>
  <c r="L239" i="15"/>
  <c r="O240" i="15"/>
  <c r="J241" i="15"/>
  <c r="C241" i="15"/>
  <c r="P240" i="15"/>
  <c r="F241" i="15"/>
  <c r="G241" i="15"/>
  <c r="V240" i="15"/>
  <c r="B241" i="15"/>
  <c r="K241" i="15"/>
  <c r="E241" i="15"/>
  <c r="I241" i="15"/>
  <c r="S240" i="15"/>
  <c r="Q240" i="15"/>
  <c r="D154" i="9" l="1"/>
  <c r="E151" i="9" s="1"/>
  <c r="D153" i="9"/>
  <c r="C156" i="9"/>
  <c r="O241" i="15"/>
  <c r="K242" i="15"/>
  <c r="G242" i="15"/>
  <c r="V241" i="15"/>
  <c r="E242" i="15"/>
  <c r="B242" i="15"/>
  <c r="I242" i="15"/>
  <c r="P241" i="15"/>
  <c r="C242" i="15"/>
  <c r="J242" i="15"/>
  <c r="F242" i="15"/>
  <c r="S241" i="15"/>
  <c r="Q241" i="15"/>
  <c r="T240" i="15"/>
  <c r="U240" i="15"/>
  <c r="M240" i="15"/>
  <c r="L240" i="15"/>
  <c r="D156" i="9" l="1"/>
  <c r="E154" i="9"/>
  <c r="F151" i="9" s="1"/>
  <c r="E153" i="9"/>
  <c r="U241" i="15"/>
  <c r="T241" i="15"/>
  <c r="L241" i="15"/>
  <c r="M241" i="15"/>
  <c r="O242" i="15"/>
  <c r="E243" i="15"/>
  <c r="B243" i="15"/>
  <c r="J243" i="15"/>
  <c r="I243" i="15"/>
  <c r="K243" i="15"/>
  <c r="F243" i="15"/>
  <c r="V242" i="15"/>
  <c r="P242" i="15"/>
  <c r="C243" i="15"/>
  <c r="G243" i="15"/>
  <c r="Q242" i="15"/>
  <c r="S242" i="15"/>
  <c r="E156" i="9" l="1"/>
  <c r="F154" i="9"/>
  <c r="G151" i="9" s="1"/>
  <c r="F153" i="9"/>
  <c r="M242" i="15"/>
  <c r="L242" i="15"/>
  <c r="T242" i="15"/>
  <c r="U242" i="15"/>
  <c r="K244" i="15"/>
  <c r="I244" i="15"/>
  <c r="V243" i="15"/>
  <c r="J244" i="15"/>
  <c r="C244" i="15"/>
  <c r="O243" i="15"/>
  <c r="G244" i="15"/>
  <c r="P243" i="15"/>
  <c r="B244" i="15"/>
  <c r="F244" i="15"/>
  <c r="E244" i="15"/>
  <c r="Q243" i="15"/>
  <c r="S243" i="15"/>
  <c r="G153" i="9" l="1"/>
  <c r="G154" i="9"/>
  <c r="H151" i="9" s="1"/>
  <c r="F156" i="9"/>
  <c r="U243" i="15"/>
  <c r="M243" i="15"/>
  <c r="T243" i="15"/>
  <c r="L243" i="15"/>
  <c r="O244" i="15"/>
  <c r="J245" i="15"/>
  <c r="C245" i="15"/>
  <c r="P244" i="15"/>
  <c r="F245" i="15"/>
  <c r="G245" i="15"/>
  <c r="E245" i="15"/>
  <c r="I245" i="15"/>
  <c r="B245" i="15"/>
  <c r="V244" i="15"/>
  <c r="K245" i="15"/>
  <c r="S244" i="15"/>
  <c r="Q244" i="15"/>
  <c r="H154" i="9" l="1"/>
  <c r="I151" i="9" s="1"/>
  <c r="H153" i="9"/>
  <c r="G156" i="9"/>
  <c r="O245" i="15"/>
  <c r="K246" i="15"/>
  <c r="G246" i="15"/>
  <c r="V245" i="15"/>
  <c r="E246" i="15"/>
  <c r="B246" i="15"/>
  <c r="J246" i="15"/>
  <c r="F246" i="15"/>
  <c r="P245" i="15"/>
  <c r="I246" i="15"/>
  <c r="C246" i="15"/>
  <c r="Q245" i="15"/>
  <c r="S245" i="15"/>
  <c r="T244" i="15"/>
  <c r="U244" i="15"/>
  <c r="L244" i="15"/>
  <c r="M244" i="15"/>
  <c r="I153" i="9" l="1"/>
  <c r="I154" i="9"/>
  <c r="J151" i="9" s="1"/>
  <c r="H156" i="9"/>
  <c r="O246" i="15"/>
  <c r="E247" i="15"/>
  <c r="B247" i="15"/>
  <c r="J247" i="15"/>
  <c r="I247" i="15"/>
  <c r="V246" i="15"/>
  <c r="C247" i="15"/>
  <c r="P246" i="15"/>
  <c r="G247" i="15"/>
  <c r="K247" i="15"/>
  <c r="F247" i="15"/>
  <c r="S246" i="15"/>
  <c r="Q246" i="15"/>
  <c r="T245" i="15"/>
  <c r="L245" i="15"/>
  <c r="U245" i="15"/>
  <c r="M245" i="15"/>
  <c r="J153" i="9" l="1"/>
  <c r="J154" i="9"/>
  <c r="K151" i="9" s="1"/>
  <c r="I156" i="9"/>
  <c r="K248" i="15"/>
  <c r="I248" i="15"/>
  <c r="V247" i="15"/>
  <c r="F248" i="15"/>
  <c r="C248" i="15"/>
  <c r="J248" i="15"/>
  <c r="E248" i="15"/>
  <c r="G248" i="15"/>
  <c r="B248" i="15"/>
  <c r="O247" i="15"/>
  <c r="P247" i="15"/>
  <c r="S247" i="15"/>
  <c r="Q247" i="15"/>
  <c r="M246" i="15"/>
  <c r="L246" i="15"/>
  <c r="T246" i="15"/>
  <c r="U246" i="15"/>
  <c r="K153" i="9" l="1"/>
  <c r="K154" i="9"/>
  <c r="L151" i="9" s="1"/>
  <c r="J156" i="9"/>
  <c r="T247" i="15"/>
  <c r="L247" i="15"/>
  <c r="M247" i="15"/>
  <c r="U247" i="15"/>
  <c r="O248" i="15"/>
  <c r="J249" i="15"/>
  <c r="C249" i="15"/>
  <c r="P248" i="15"/>
  <c r="F249" i="15"/>
  <c r="G249" i="15"/>
  <c r="V248" i="15"/>
  <c r="B249" i="15"/>
  <c r="K249" i="15"/>
  <c r="E249" i="15"/>
  <c r="I249" i="15"/>
  <c r="Q248" i="15"/>
  <c r="S248" i="15"/>
  <c r="L153" i="9" l="1"/>
  <c r="L154" i="9"/>
  <c r="M151" i="9" s="1"/>
  <c r="K156" i="9"/>
  <c r="O249" i="15"/>
  <c r="K250" i="15"/>
  <c r="G250" i="15"/>
  <c r="V249" i="15"/>
  <c r="E250" i="15"/>
  <c r="B250" i="15"/>
  <c r="I250" i="15"/>
  <c r="P249" i="15"/>
  <c r="C250" i="15"/>
  <c r="J250" i="15"/>
  <c r="F250" i="15"/>
  <c r="Q249" i="15"/>
  <c r="S249" i="15"/>
  <c r="T248" i="15"/>
  <c r="U248" i="15"/>
  <c r="L248" i="15"/>
  <c r="M248" i="15"/>
  <c r="M153" i="9" l="1"/>
  <c r="M154" i="9"/>
  <c r="N151" i="9" s="1"/>
  <c r="L156" i="9"/>
  <c r="T249" i="15"/>
  <c r="L249" i="15"/>
  <c r="U249" i="15"/>
  <c r="M249" i="15"/>
  <c r="O250" i="15"/>
  <c r="E251" i="15"/>
  <c r="B251" i="15"/>
  <c r="J251" i="15"/>
  <c r="I251" i="15"/>
  <c r="K251" i="15"/>
  <c r="F251" i="15"/>
  <c r="C251" i="15"/>
  <c r="G251" i="15"/>
  <c r="V250" i="15"/>
  <c r="P250" i="15"/>
  <c r="S250" i="15"/>
  <c r="Q250" i="15"/>
  <c r="N153" i="9" l="1"/>
  <c r="N154" i="9"/>
  <c r="O154" i="9" s="1"/>
  <c r="M156" i="9"/>
  <c r="M250" i="15"/>
  <c r="L250" i="15"/>
  <c r="T250" i="15"/>
  <c r="U250" i="15"/>
  <c r="P251" i="15"/>
  <c r="I252" i="15"/>
  <c r="V251" i="15"/>
  <c r="J252" i="15"/>
  <c r="C252" i="15"/>
  <c r="O251" i="15"/>
  <c r="G252" i="15"/>
  <c r="K252" i="15"/>
  <c r="B252" i="15"/>
  <c r="F252" i="15"/>
  <c r="E252" i="15"/>
  <c r="S251" i="15"/>
  <c r="Q251" i="15"/>
  <c r="C160" i="9" l="1"/>
  <c r="N156" i="9"/>
  <c r="O156" i="9" s="1"/>
  <c r="O153" i="9"/>
  <c r="O252" i="15"/>
  <c r="J253" i="15"/>
  <c r="C253" i="15"/>
  <c r="P252" i="15"/>
  <c r="F253" i="15"/>
  <c r="G253" i="15"/>
  <c r="E253" i="15"/>
  <c r="I253" i="15"/>
  <c r="V252" i="15"/>
  <c r="K253" i="15"/>
  <c r="B253" i="15"/>
  <c r="Q252" i="15"/>
  <c r="S252" i="15"/>
  <c r="T251" i="15"/>
  <c r="L251" i="15"/>
  <c r="M251" i="15"/>
  <c r="U251" i="15"/>
  <c r="C163" i="9" l="1"/>
  <c r="D160" i="9" s="1"/>
  <c r="C162" i="9"/>
  <c r="T252" i="15"/>
  <c r="U252" i="15"/>
  <c r="L252" i="15"/>
  <c r="M252" i="15"/>
  <c r="O253" i="15"/>
  <c r="F254" i="15"/>
  <c r="B254" i="15"/>
  <c r="V253" i="15"/>
  <c r="E254" i="15"/>
  <c r="G254" i="15"/>
  <c r="J254" i="15"/>
  <c r="K254" i="15"/>
  <c r="C254" i="15"/>
  <c r="I254" i="15"/>
  <c r="P253" i="15"/>
  <c r="Q253" i="15"/>
  <c r="S253" i="15"/>
  <c r="D163" i="9" l="1"/>
  <c r="E160" i="9" s="1"/>
  <c r="D162" i="9"/>
  <c r="C165" i="9"/>
  <c r="O254" i="15"/>
  <c r="E255" i="15"/>
  <c r="C255" i="15"/>
  <c r="J255" i="15"/>
  <c r="I255" i="15"/>
  <c r="V254" i="15"/>
  <c r="B255" i="15"/>
  <c r="P254" i="15"/>
  <c r="G255" i="15"/>
  <c r="K255" i="15"/>
  <c r="F255" i="15"/>
  <c r="S254" i="15"/>
  <c r="Q254" i="15"/>
  <c r="T253" i="15"/>
  <c r="L253" i="15"/>
  <c r="U253" i="15"/>
  <c r="M253" i="15"/>
  <c r="E163" i="9" l="1"/>
  <c r="F160" i="9" s="1"/>
  <c r="E162" i="9"/>
  <c r="D165" i="9"/>
  <c r="M254" i="15"/>
  <c r="L254" i="15"/>
  <c r="T254" i="15"/>
  <c r="U254" i="15"/>
  <c r="K256" i="15"/>
  <c r="C256" i="15"/>
  <c r="V255" i="15"/>
  <c r="F256" i="15"/>
  <c r="I256" i="15"/>
  <c r="J256" i="15"/>
  <c r="E256" i="15"/>
  <c r="O255" i="15"/>
  <c r="P255" i="15"/>
  <c r="B256" i="15"/>
  <c r="G256" i="15"/>
  <c r="S255" i="15"/>
  <c r="Q255" i="15"/>
  <c r="E165" i="9" l="1"/>
  <c r="F163" i="9"/>
  <c r="G160" i="9" s="1"/>
  <c r="F162" i="9"/>
  <c r="M255" i="15"/>
  <c r="T255" i="15"/>
  <c r="L255" i="15"/>
  <c r="U255" i="15"/>
  <c r="O256" i="15"/>
  <c r="V256" i="15"/>
  <c r="B257" i="15"/>
  <c r="P256" i="15"/>
  <c r="F257" i="15"/>
  <c r="G257" i="15"/>
  <c r="K257" i="15"/>
  <c r="C257" i="15"/>
  <c r="J257" i="15"/>
  <c r="E257" i="15"/>
  <c r="I257" i="15"/>
  <c r="Q256" i="15"/>
  <c r="S256" i="15"/>
  <c r="G162" i="9" l="1"/>
  <c r="G163" i="9"/>
  <c r="H160" i="9" s="1"/>
  <c r="F165" i="9"/>
  <c r="P257" i="15"/>
  <c r="K258" i="15"/>
  <c r="B258" i="15"/>
  <c r="V257" i="15"/>
  <c r="E258" i="15"/>
  <c r="G258" i="15"/>
  <c r="C258" i="15"/>
  <c r="O257" i="15"/>
  <c r="I258" i="15"/>
  <c r="J258" i="15"/>
  <c r="F258" i="15"/>
  <c r="Q257" i="15"/>
  <c r="S257" i="15"/>
  <c r="U256" i="15"/>
  <c r="L256" i="15"/>
  <c r="T256" i="15"/>
  <c r="M256" i="15"/>
  <c r="H163" i="9" l="1"/>
  <c r="I160" i="9" s="1"/>
  <c r="H162" i="9"/>
  <c r="G165" i="9"/>
  <c r="T257" i="15"/>
  <c r="M257" i="15"/>
  <c r="L257" i="15"/>
  <c r="U257" i="15"/>
  <c r="V258" i="15"/>
  <c r="E259" i="15"/>
  <c r="G259" i="15"/>
  <c r="J259" i="15"/>
  <c r="C259" i="15"/>
  <c r="K259" i="15"/>
  <c r="F259" i="15"/>
  <c r="P258" i="15"/>
  <c r="O258" i="15"/>
  <c r="B259" i="15"/>
  <c r="I259" i="15"/>
  <c r="S258" i="15"/>
  <c r="Q258" i="15"/>
  <c r="H165" i="9" l="1"/>
  <c r="I162" i="9"/>
  <c r="I163" i="9"/>
  <c r="J160" i="9" s="1"/>
  <c r="K260" i="15"/>
  <c r="C260" i="15"/>
  <c r="V259" i="15"/>
  <c r="J260" i="15"/>
  <c r="B260" i="15"/>
  <c r="P259" i="15"/>
  <c r="I260" i="15"/>
  <c r="O259" i="15"/>
  <c r="G260" i="15"/>
  <c r="F260" i="15"/>
  <c r="E260" i="15"/>
  <c r="Q259" i="15"/>
  <c r="S259" i="15"/>
  <c r="L258" i="15"/>
  <c r="T258" i="15"/>
  <c r="U258" i="15"/>
  <c r="M258" i="15"/>
  <c r="I165" i="9" l="1"/>
  <c r="J163" i="9"/>
  <c r="K160" i="9" s="1"/>
  <c r="J162" i="9"/>
  <c r="T259" i="15"/>
  <c r="L259" i="15"/>
  <c r="U259" i="15"/>
  <c r="M259" i="15"/>
  <c r="V260" i="15"/>
  <c r="J261" i="15"/>
  <c r="B261" i="15"/>
  <c r="O260" i="15"/>
  <c r="F261" i="15"/>
  <c r="I261" i="15"/>
  <c r="E261" i="15"/>
  <c r="C261" i="15"/>
  <c r="G261" i="15"/>
  <c r="P260" i="15"/>
  <c r="K261" i="15"/>
  <c r="Q260" i="15"/>
  <c r="S260" i="15"/>
  <c r="J165" i="9" l="1"/>
  <c r="K163" i="9"/>
  <c r="L160" i="9" s="1"/>
  <c r="K162" i="9"/>
  <c r="P261" i="15"/>
  <c r="K262" i="15"/>
  <c r="I262" i="15"/>
  <c r="V261" i="15"/>
  <c r="E262" i="15"/>
  <c r="G262" i="15"/>
  <c r="J262" i="15"/>
  <c r="F262" i="15"/>
  <c r="O261" i="15"/>
  <c r="C262" i="15"/>
  <c r="B262" i="15"/>
  <c r="S261" i="15"/>
  <c r="Q261" i="15"/>
  <c r="L260" i="15"/>
  <c r="M260" i="15"/>
  <c r="T260" i="15"/>
  <c r="U260" i="15"/>
  <c r="K165" i="9" l="1"/>
  <c r="L162" i="9"/>
  <c r="L163" i="9"/>
  <c r="M160" i="9" s="1"/>
  <c r="T261" i="15"/>
  <c r="L261" i="15"/>
  <c r="U261" i="15"/>
  <c r="M261" i="15"/>
  <c r="V262" i="15"/>
  <c r="E263" i="15"/>
  <c r="G263" i="15"/>
  <c r="J263" i="15"/>
  <c r="C263" i="15"/>
  <c r="P262" i="15"/>
  <c r="B263" i="15"/>
  <c r="O262" i="15"/>
  <c r="I263" i="15"/>
  <c r="K263" i="15"/>
  <c r="F263" i="15"/>
  <c r="S262" i="15"/>
  <c r="Q262" i="15"/>
  <c r="L165" i="9" l="1"/>
  <c r="M163" i="9"/>
  <c r="N160" i="9" s="1"/>
  <c r="M162" i="9"/>
  <c r="L262" i="15"/>
  <c r="T262" i="15"/>
  <c r="U262" i="15"/>
  <c r="M262" i="15"/>
  <c r="K264" i="15"/>
  <c r="C264" i="15"/>
  <c r="V263" i="15"/>
  <c r="F264" i="15"/>
  <c r="B264" i="15"/>
  <c r="J264" i="15"/>
  <c r="E264" i="15"/>
  <c r="I264" i="15"/>
  <c r="G264" i="15"/>
  <c r="P263" i="15"/>
  <c r="O263" i="15"/>
  <c r="S263" i="15"/>
  <c r="Q263" i="15"/>
  <c r="M165" i="9" l="1"/>
  <c r="N163" i="9"/>
  <c r="O163" i="9" s="1"/>
  <c r="N162" i="9"/>
  <c r="V264" i="15"/>
  <c r="J265" i="15"/>
  <c r="C265" i="15"/>
  <c r="O264" i="15"/>
  <c r="F265" i="15"/>
  <c r="B265" i="15"/>
  <c r="P264" i="15"/>
  <c r="I265" i="15"/>
  <c r="K265" i="15"/>
  <c r="G265" i="15"/>
  <c r="E265" i="15"/>
  <c r="S264" i="15"/>
  <c r="Q264" i="15"/>
  <c r="L263" i="15"/>
  <c r="T263" i="15"/>
  <c r="U263" i="15"/>
  <c r="M263" i="15"/>
  <c r="C169" i="9" l="1"/>
  <c r="N165" i="9"/>
  <c r="O165" i="9" s="1"/>
  <c r="O162" i="9"/>
  <c r="U264" i="15"/>
  <c r="L264" i="15"/>
  <c r="T264" i="15"/>
  <c r="M264" i="15"/>
  <c r="J266" i="15"/>
  <c r="B266" i="15"/>
  <c r="O265" i="15"/>
  <c r="F266" i="15"/>
  <c r="E266" i="15"/>
  <c r="P265" i="15"/>
  <c r="I266" i="15"/>
  <c r="V265" i="15"/>
  <c r="C266" i="15"/>
  <c r="K266" i="15"/>
  <c r="G266" i="15"/>
  <c r="S265" i="15"/>
  <c r="Q265" i="15"/>
  <c r="C172" i="9" l="1"/>
  <c r="D169" i="9" s="1"/>
  <c r="C171" i="9"/>
  <c r="T265" i="15"/>
  <c r="L265" i="15"/>
  <c r="M265" i="15"/>
  <c r="U265" i="15"/>
  <c r="P266" i="15"/>
  <c r="K267" i="15"/>
  <c r="E267" i="15"/>
  <c r="O266" i="15"/>
  <c r="F267" i="15"/>
  <c r="C267" i="15"/>
  <c r="G267" i="15"/>
  <c r="B267" i="15"/>
  <c r="J267" i="15"/>
  <c r="I267" i="15"/>
  <c r="V266" i="15"/>
  <c r="S266" i="15"/>
  <c r="Q266" i="15"/>
  <c r="D172" i="9" l="1"/>
  <c r="E169" i="9" s="1"/>
  <c r="D171" i="9"/>
  <c r="C174" i="9"/>
  <c r="M266" i="15"/>
  <c r="L266" i="15"/>
  <c r="U266" i="15"/>
  <c r="T266" i="15"/>
  <c r="P267" i="15"/>
  <c r="F268" i="15"/>
  <c r="I268" i="15"/>
  <c r="O267" i="15"/>
  <c r="G268" i="15"/>
  <c r="C268" i="15"/>
  <c r="K268" i="15"/>
  <c r="J268" i="15"/>
  <c r="E268" i="15"/>
  <c r="V267" i="15"/>
  <c r="B268" i="15"/>
  <c r="Q267" i="15"/>
  <c r="S267" i="15"/>
  <c r="E171" i="9" l="1"/>
  <c r="E172" i="9"/>
  <c r="F169" i="9" s="1"/>
  <c r="D174" i="9"/>
  <c r="P268" i="15"/>
  <c r="G269" i="15"/>
  <c r="I269" i="15"/>
  <c r="K269" i="15"/>
  <c r="B269" i="15"/>
  <c r="V268" i="15"/>
  <c r="E269" i="15"/>
  <c r="O268" i="15"/>
  <c r="C269" i="15"/>
  <c r="J269" i="15"/>
  <c r="F269" i="15"/>
  <c r="S268" i="15"/>
  <c r="Q268" i="15"/>
  <c r="T267" i="15"/>
  <c r="L267" i="15"/>
  <c r="M267" i="15"/>
  <c r="U267" i="15"/>
  <c r="E174" i="9" l="1"/>
  <c r="F172" i="9"/>
  <c r="G169" i="9" s="1"/>
  <c r="F171" i="9"/>
  <c r="U268" i="15"/>
  <c r="T268" i="15"/>
  <c r="L268" i="15"/>
  <c r="M268" i="15"/>
  <c r="J270" i="15"/>
  <c r="B270" i="15"/>
  <c r="O269" i="15"/>
  <c r="K270" i="15"/>
  <c r="E270" i="15"/>
  <c r="F270" i="15"/>
  <c r="G270" i="15"/>
  <c r="V269" i="15"/>
  <c r="I270" i="15"/>
  <c r="C270" i="15"/>
  <c r="P269" i="15"/>
  <c r="S269" i="15"/>
  <c r="Q269" i="15"/>
  <c r="F174" i="9" l="1"/>
  <c r="G171" i="9"/>
  <c r="G172" i="9"/>
  <c r="H169" i="9" s="1"/>
  <c r="P270" i="15"/>
  <c r="K271" i="15"/>
  <c r="E271" i="15"/>
  <c r="O270" i="15"/>
  <c r="F271" i="15"/>
  <c r="C271" i="15"/>
  <c r="V270" i="15"/>
  <c r="I271" i="15"/>
  <c r="J271" i="15"/>
  <c r="B271" i="15"/>
  <c r="G271" i="15"/>
  <c r="Q270" i="15"/>
  <c r="S270" i="15"/>
  <c r="T269" i="15"/>
  <c r="L269" i="15"/>
  <c r="U269" i="15"/>
  <c r="M269" i="15"/>
  <c r="H172" i="9" l="1"/>
  <c r="I169" i="9" s="1"/>
  <c r="H171" i="9"/>
  <c r="G174" i="9"/>
  <c r="P271" i="15"/>
  <c r="J272" i="15"/>
  <c r="I272" i="15"/>
  <c r="O271" i="15"/>
  <c r="G272" i="15"/>
  <c r="C272" i="15"/>
  <c r="B272" i="15"/>
  <c r="V271" i="15"/>
  <c r="E272" i="15"/>
  <c r="K272" i="15"/>
  <c r="F272" i="15"/>
  <c r="Q271" i="15"/>
  <c r="S271" i="15"/>
  <c r="L270" i="15"/>
  <c r="T270" i="15"/>
  <c r="M270" i="15"/>
  <c r="U270" i="15"/>
  <c r="H174" i="9" l="1"/>
  <c r="I171" i="9"/>
  <c r="I172" i="9"/>
  <c r="J169" i="9" s="1"/>
  <c r="P272" i="15"/>
  <c r="G273" i="15"/>
  <c r="I273" i="15"/>
  <c r="K273" i="15"/>
  <c r="B273" i="15"/>
  <c r="J273" i="15"/>
  <c r="F273" i="15"/>
  <c r="O272" i="15"/>
  <c r="E273" i="15"/>
  <c r="C273" i="15"/>
  <c r="V272" i="15"/>
  <c r="Q272" i="15"/>
  <c r="S272" i="15"/>
  <c r="U271" i="15"/>
  <c r="L271" i="15"/>
  <c r="M271" i="15"/>
  <c r="T271" i="15"/>
  <c r="J171" i="9" l="1"/>
  <c r="J172" i="9"/>
  <c r="K169" i="9" s="1"/>
  <c r="I174" i="9"/>
  <c r="J274" i="15"/>
  <c r="B274" i="15"/>
  <c r="O273" i="15"/>
  <c r="F274" i="15"/>
  <c r="E274" i="15"/>
  <c r="P273" i="15"/>
  <c r="I274" i="15"/>
  <c r="V273" i="15"/>
  <c r="C274" i="15"/>
  <c r="G274" i="15"/>
  <c r="K274" i="15"/>
  <c r="S273" i="15"/>
  <c r="Q273" i="15"/>
  <c r="T272" i="15"/>
  <c r="L272" i="15"/>
  <c r="M272" i="15"/>
  <c r="U272" i="15"/>
  <c r="J174" i="9" l="1"/>
  <c r="K171" i="9"/>
  <c r="K172" i="9"/>
  <c r="L169" i="9" s="1"/>
  <c r="L273" i="15"/>
  <c r="U273" i="15"/>
  <c r="M273" i="15"/>
  <c r="T273" i="15"/>
  <c r="P274" i="15"/>
  <c r="K275" i="15"/>
  <c r="E275" i="15"/>
  <c r="O274" i="15"/>
  <c r="F275" i="15"/>
  <c r="C275" i="15"/>
  <c r="G275" i="15"/>
  <c r="B275" i="15"/>
  <c r="V274" i="15"/>
  <c r="J275" i="15"/>
  <c r="I275" i="15"/>
  <c r="Q274" i="15"/>
  <c r="S274" i="15"/>
  <c r="K174" i="9" l="1"/>
  <c r="L172" i="9"/>
  <c r="M169" i="9" s="1"/>
  <c r="L171" i="9"/>
  <c r="M274" i="15"/>
  <c r="U274" i="15"/>
  <c r="T274" i="15"/>
  <c r="L274" i="15"/>
  <c r="P275" i="15"/>
  <c r="F276" i="15"/>
  <c r="I276" i="15"/>
  <c r="O275" i="15"/>
  <c r="G276" i="15"/>
  <c r="C276" i="15"/>
  <c r="K276" i="15"/>
  <c r="J276" i="15"/>
  <c r="V275" i="15"/>
  <c r="B276" i="15"/>
  <c r="E276" i="15"/>
  <c r="Q275" i="15"/>
  <c r="S275" i="15"/>
  <c r="L174" i="9" l="1"/>
  <c r="M172" i="9"/>
  <c r="N169" i="9" s="1"/>
  <c r="M171" i="9"/>
  <c r="P276" i="15"/>
  <c r="G277" i="15"/>
  <c r="I277" i="15"/>
  <c r="K277" i="15"/>
  <c r="B277" i="15"/>
  <c r="V276" i="15"/>
  <c r="E277" i="15"/>
  <c r="O276" i="15"/>
  <c r="C277" i="15"/>
  <c r="F277" i="15"/>
  <c r="J277" i="15"/>
  <c r="Q276" i="15"/>
  <c r="S276" i="15"/>
  <c r="U275" i="15"/>
  <c r="L275" i="15"/>
  <c r="M275" i="15"/>
  <c r="T275" i="15"/>
  <c r="M174" i="9" l="1"/>
  <c r="N172" i="9"/>
  <c r="O172" i="9" s="1"/>
  <c r="N171" i="9"/>
  <c r="T276" i="15"/>
  <c r="M276" i="15"/>
  <c r="L276" i="15"/>
  <c r="U276" i="15"/>
  <c r="J278" i="15"/>
  <c r="B278" i="15"/>
  <c r="O277" i="15"/>
  <c r="F278" i="15"/>
  <c r="E278" i="15"/>
  <c r="K278" i="15"/>
  <c r="G278" i="15"/>
  <c r="C278" i="15"/>
  <c r="P277" i="15"/>
  <c r="V277" i="15"/>
  <c r="I278" i="15"/>
  <c r="Q277" i="15"/>
  <c r="S277" i="15"/>
  <c r="C178" i="9" l="1"/>
  <c r="C180" i="9" s="1"/>
  <c r="N174" i="9"/>
  <c r="O174" i="9" s="1"/>
  <c r="O171" i="9"/>
  <c r="P278" i="15"/>
  <c r="K279" i="15"/>
  <c r="E279" i="15"/>
  <c r="O278" i="15"/>
  <c r="F279" i="15"/>
  <c r="C279" i="15"/>
  <c r="V278" i="15"/>
  <c r="I279" i="15"/>
  <c r="J279" i="15"/>
  <c r="G279" i="15"/>
  <c r="B279" i="15"/>
  <c r="Q278" i="15"/>
  <c r="S278" i="15"/>
  <c r="L277" i="15"/>
  <c r="U277" i="15"/>
  <c r="M277" i="15"/>
  <c r="T277" i="15"/>
  <c r="C181" i="9" l="1"/>
  <c r="D178" i="9" s="1"/>
  <c r="D180" i="9" s="1"/>
  <c r="M278" i="15"/>
  <c r="U278" i="15"/>
  <c r="T278" i="15"/>
  <c r="L278" i="15"/>
  <c r="P279" i="15"/>
  <c r="J280" i="15"/>
  <c r="I280" i="15"/>
  <c r="O279" i="15"/>
  <c r="G280" i="15"/>
  <c r="C280" i="15"/>
  <c r="B280" i="15"/>
  <c r="V279" i="15"/>
  <c r="E280" i="15"/>
  <c r="F280" i="15"/>
  <c r="K280" i="15"/>
  <c r="Q279" i="15"/>
  <c r="S279" i="15"/>
  <c r="C183" i="9" l="1"/>
  <c r="D181" i="9"/>
  <c r="E178" i="9" s="1"/>
  <c r="E180" i="9" s="1"/>
  <c r="P280" i="15"/>
  <c r="G281" i="15"/>
  <c r="I281" i="15"/>
  <c r="K281" i="15"/>
  <c r="B281" i="15"/>
  <c r="J281" i="15"/>
  <c r="F281" i="15"/>
  <c r="C281" i="15"/>
  <c r="V280" i="15"/>
  <c r="O280" i="15"/>
  <c r="E281" i="15"/>
  <c r="Q280" i="15"/>
  <c r="S280" i="15"/>
  <c r="U279" i="15"/>
  <c r="L279" i="15"/>
  <c r="M279" i="15"/>
  <c r="T279" i="15"/>
  <c r="E181" i="9" l="1"/>
  <c r="F178" i="9" s="1"/>
  <c r="F181" i="9" s="1"/>
  <c r="G178" i="9" s="1"/>
  <c r="D183" i="9"/>
  <c r="T280" i="15"/>
  <c r="L280" i="15"/>
  <c r="M280" i="15"/>
  <c r="U280" i="15"/>
  <c r="J282" i="15"/>
  <c r="B282" i="15"/>
  <c r="O281" i="15"/>
  <c r="F282" i="15"/>
  <c r="E282" i="15"/>
  <c r="P281" i="15"/>
  <c r="I282" i="15"/>
  <c r="V281" i="15"/>
  <c r="C282" i="15"/>
  <c r="K282" i="15"/>
  <c r="G282" i="15"/>
  <c r="S281" i="15"/>
  <c r="Q281" i="15"/>
  <c r="E183" i="9" l="1"/>
  <c r="F180" i="9"/>
  <c r="F183" i="9" s="1"/>
  <c r="G181" i="9"/>
  <c r="H178" i="9" s="1"/>
  <c r="G180" i="9"/>
  <c r="P282" i="15"/>
  <c r="K283" i="15"/>
  <c r="E283" i="15"/>
  <c r="O282" i="15"/>
  <c r="F283" i="15"/>
  <c r="C283" i="15"/>
  <c r="G283" i="15"/>
  <c r="B283" i="15"/>
  <c r="J283" i="15"/>
  <c r="I283" i="15"/>
  <c r="V282" i="15"/>
  <c r="S282" i="15"/>
  <c r="Q282" i="15"/>
  <c r="M281" i="15"/>
  <c r="L281" i="15"/>
  <c r="T281" i="15"/>
  <c r="U281" i="15"/>
  <c r="G183" i="9" l="1"/>
  <c r="H180" i="9"/>
  <c r="H181" i="9"/>
  <c r="I178" i="9" s="1"/>
  <c r="T282" i="15"/>
  <c r="L282" i="15"/>
  <c r="U282" i="15"/>
  <c r="M282" i="15"/>
  <c r="P283" i="15"/>
  <c r="F284" i="15"/>
  <c r="I284" i="15"/>
  <c r="O283" i="15"/>
  <c r="G284" i="15"/>
  <c r="C284" i="15"/>
  <c r="K284" i="15"/>
  <c r="J284" i="15"/>
  <c r="E284" i="15"/>
  <c r="V283" i="15"/>
  <c r="B284" i="15"/>
  <c r="S283" i="15"/>
  <c r="Q283" i="15"/>
  <c r="I181" i="9" l="1"/>
  <c r="J178" i="9" s="1"/>
  <c r="I180" i="9"/>
  <c r="H183" i="9"/>
  <c r="P284" i="15"/>
  <c r="G285" i="15"/>
  <c r="I285" i="15"/>
  <c r="K285" i="15"/>
  <c r="B285" i="15"/>
  <c r="V284" i="15"/>
  <c r="E285" i="15"/>
  <c r="O284" i="15"/>
  <c r="C285" i="15"/>
  <c r="J285" i="15"/>
  <c r="F285" i="15"/>
  <c r="Q284" i="15"/>
  <c r="S284" i="15"/>
  <c r="T283" i="15"/>
  <c r="M283" i="15"/>
  <c r="U283" i="15"/>
  <c r="L283" i="15"/>
  <c r="I183" i="9" l="1"/>
  <c r="J181" i="9"/>
  <c r="K178" i="9" s="1"/>
  <c r="J180" i="9"/>
  <c r="T284" i="15"/>
  <c r="M284" i="15"/>
  <c r="U284" i="15"/>
  <c r="L284" i="15"/>
  <c r="J286" i="15"/>
  <c r="B286" i="15"/>
  <c r="O285" i="15"/>
  <c r="K286" i="15"/>
  <c r="E286" i="15"/>
  <c r="F286" i="15"/>
  <c r="G286" i="15"/>
  <c r="V285" i="15"/>
  <c r="I286" i="15"/>
  <c r="C286" i="15"/>
  <c r="P285" i="15"/>
  <c r="S285" i="15"/>
  <c r="Q285" i="15"/>
  <c r="J183" i="9" l="1"/>
  <c r="K180" i="9"/>
  <c r="K181" i="9"/>
  <c r="L178" i="9" s="1"/>
  <c r="P286" i="15"/>
  <c r="K287" i="15"/>
  <c r="E287" i="15"/>
  <c r="O286" i="15"/>
  <c r="F287" i="15"/>
  <c r="C287" i="15"/>
  <c r="V286" i="15"/>
  <c r="I287" i="15"/>
  <c r="J287" i="15"/>
  <c r="B287" i="15"/>
  <c r="G287" i="15"/>
  <c r="S286" i="15"/>
  <c r="Q286" i="15"/>
  <c r="L285" i="15"/>
  <c r="T285" i="15"/>
  <c r="U285" i="15"/>
  <c r="M285" i="15"/>
  <c r="L180" i="9" l="1"/>
  <c r="L181" i="9"/>
  <c r="M178" i="9" s="1"/>
  <c r="K183" i="9"/>
  <c r="T286" i="15"/>
  <c r="L286" i="15"/>
  <c r="U286" i="15"/>
  <c r="M286" i="15"/>
  <c r="P287" i="15"/>
  <c r="J288" i="15"/>
  <c r="I288" i="15"/>
  <c r="O287" i="15"/>
  <c r="G288" i="15"/>
  <c r="C288" i="15"/>
  <c r="B288" i="15"/>
  <c r="V287" i="15"/>
  <c r="E288" i="15"/>
  <c r="K288" i="15"/>
  <c r="F288" i="15"/>
  <c r="Q287" i="15"/>
  <c r="S287" i="15"/>
  <c r="M180" i="9" l="1"/>
  <c r="M181" i="9"/>
  <c r="N178" i="9" s="1"/>
  <c r="L183" i="9"/>
  <c r="M287" i="15"/>
  <c r="T287" i="15"/>
  <c r="U287" i="15"/>
  <c r="L287" i="15"/>
  <c r="P288" i="15"/>
  <c r="G289" i="15"/>
  <c r="I289" i="15"/>
  <c r="K289" i="15"/>
  <c r="B289" i="15"/>
  <c r="J289" i="15"/>
  <c r="F289" i="15"/>
  <c r="O288" i="15"/>
  <c r="E289" i="15"/>
  <c r="C289" i="15"/>
  <c r="V288" i="15"/>
  <c r="Q288" i="15"/>
  <c r="S288" i="15"/>
  <c r="N180" i="9" l="1"/>
  <c r="N181" i="9"/>
  <c r="O181" i="9" s="1"/>
  <c r="M183" i="9"/>
  <c r="T288" i="15"/>
  <c r="M288" i="15"/>
  <c r="U288" i="15"/>
  <c r="L288" i="15"/>
  <c r="J290" i="15"/>
  <c r="B290" i="15"/>
  <c r="O289" i="15"/>
  <c r="F290" i="15"/>
  <c r="E290" i="15"/>
  <c r="P289" i="15"/>
  <c r="I290" i="15"/>
  <c r="V289" i="15"/>
  <c r="C290" i="15"/>
  <c r="G290" i="15"/>
  <c r="K290" i="15"/>
  <c r="Q289" i="15"/>
  <c r="S289" i="15"/>
  <c r="C187" i="9" l="1"/>
  <c r="C190" i="9" s="1"/>
  <c r="D187" i="9" s="1"/>
  <c r="N183" i="9"/>
  <c r="O183" i="9" s="1"/>
  <c r="O180" i="9"/>
  <c r="M289" i="15"/>
  <c r="T289" i="15"/>
  <c r="L289" i="15"/>
  <c r="U289" i="15"/>
  <c r="P290" i="15"/>
  <c r="K291" i="15"/>
  <c r="E291" i="15"/>
  <c r="O290" i="15"/>
  <c r="F291" i="15"/>
  <c r="C291" i="15"/>
  <c r="G291" i="15"/>
  <c r="B291" i="15"/>
  <c r="V290" i="15"/>
  <c r="J291" i="15"/>
  <c r="I291" i="15"/>
  <c r="S290" i="15"/>
  <c r="Q290" i="15"/>
  <c r="C189" i="9" l="1"/>
  <c r="C192" i="9" s="1"/>
  <c r="D190" i="9"/>
  <c r="E187" i="9" s="1"/>
  <c r="D189" i="9"/>
  <c r="M290" i="15"/>
  <c r="U290" i="15"/>
  <c r="T290" i="15"/>
  <c r="L290" i="15"/>
  <c r="P291" i="15"/>
  <c r="F292" i="15"/>
  <c r="I292" i="15"/>
  <c r="O291" i="15"/>
  <c r="G292" i="15"/>
  <c r="C292" i="15"/>
  <c r="K292" i="15"/>
  <c r="J292" i="15"/>
  <c r="V291" i="15"/>
  <c r="B292" i="15"/>
  <c r="E292" i="15"/>
  <c r="S291" i="15"/>
  <c r="Q291" i="15"/>
  <c r="D192" i="9" l="1"/>
  <c r="E189" i="9"/>
  <c r="E190" i="9"/>
  <c r="F187" i="9" s="1"/>
  <c r="P292" i="15"/>
  <c r="G293" i="15"/>
  <c r="I293" i="15"/>
  <c r="K293" i="15"/>
  <c r="B293" i="15"/>
  <c r="V292" i="15"/>
  <c r="E293" i="15"/>
  <c r="O292" i="15"/>
  <c r="C293" i="15"/>
  <c r="F293" i="15"/>
  <c r="J293" i="15"/>
  <c r="S292" i="15"/>
  <c r="Q292" i="15"/>
  <c r="U291" i="15"/>
  <c r="M291" i="15"/>
  <c r="L291" i="15"/>
  <c r="T291" i="15"/>
  <c r="F189" i="9" l="1"/>
  <c r="F190" i="9"/>
  <c r="G187" i="9" s="1"/>
  <c r="E192" i="9"/>
  <c r="U292" i="15"/>
  <c r="L292" i="15"/>
  <c r="T292" i="15"/>
  <c r="M292" i="15"/>
  <c r="J294" i="15"/>
  <c r="I294" i="15"/>
  <c r="O293" i="15"/>
  <c r="F294" i="15"/>
  <c r="B294" i="15"/>
  <c r="K294" i="15"/>
  <c r="G294" i="15"/>
  <c r="C294" i="15"/>
  <c r="P293" i="15"/>
  <c r="V293" i="15"/>
  <c r="E294" i="15"/>
  <c r="Q293" i="15"/>
  <c r="S293" i="15"/>
  <c r="G189" i="9" l="1"/>
  <c r="G190" i="9"/>
  <c r="H187" i="9" s="1"/>
  <c r="F192" i="9"/>
  <c r="L293" i="15"/>
  <c r="U293" i="15"/>
  <c r="M293" i="15"/>
  <c r="T293" i="15"/>
  <c r="P294" i="15"/>
  <c r="K295" i="15"/>
  <c r="E295" i="15"/>
  <c r="O294" i="15"/>
  <c r="F295" i="15"/>
  <c r="C295" i="15"/>
  <c r="V294" i="15"/>
  <c r="I295" i="15"/>
  <c r="J295" i="15"/>
  <c r="G295" i="15"/>
  <c r="B295" i="15"/>
  <c r="S294" i="15"/>
  <c r="Q294" i="15"/>
  <c r="H190" i="9" l="1"/>
  <c r="I187" i="9" s="1"/>
  <c r="H189" i="9"/>
  <c r="G192" i="9"/>
  <c r="M294" i="15"/>
  <c r="T294" i="15"/>
  <c r="U294" i="15"/>
  <c r="L294" i="15"/>
  <c r="P295" i="15"/>
  <c r="J296" i="15"/>
  <c r="E296" i="15"/>
  <c r="O295" i="15"/>
  <c r="I296" i="15"/>
  <c r="C296" i="15"/>
  <c r="G296" i="15"/>
  <c r="V295" i="15"/>
  <c r="B296" i="15"/>
  <c r="F296" i="15"/>
  <c r="K296" i="15"/>
  <c r="Q295" i="15"/>
  <c r="S295" i="15"/>
  <c r="H192" i="9" l="1"/>
  <c r="I190" i="9"/>
  <c r="J187" i="9" s="1"/>
  <c r="I189" i="9"/>
  <c r="L295" i="15"/>
  <c r="M295" i="15"/>
  <c r="T295" i="15"/>
  <c r="U295" i="15"/>
  <c r="P296" i="15"/>
  <c r="I297" i="15"/>
  <c r="E297" i="15"/>
  <c r="K297" i="15"/>
  <c r="C297" i="15"/>
  <c r="J297" i="15"/>
  <c r="F297" i="15"/>
  <c r="B297" i="15"/>
  <c r="V296" i="15"/>
  <c r="O296" i="15"/>
  <c r="G297" i="15"/>
  <c r="S296" i="15"/>
  <c r="Q296" i="15"/>
  <c r="I192" i="9" l="1"/>
  <c r="J190" i="9"/>
  <c r="K187" i="9" s="1"/>
  <c r="J189" i="9"/>
  <c r="J298" i="15"/>
  <c r="C298" i="15"/>
  <c r="O297" i="15"/>
  <c r="F298" i="15"/>
  <c r="G298" i="15"/>
  <c r="P297" i="15"/>
  <c r="B298" i="15"/>
  <c r="V297" i="15"/>
  <c r="E298" i="15"/>
  <c r="K298" i="15"/>
  <c r="I298" i="15"/>
  <c r="Q297" i="15"/>
  <c r="S297" i="15"/>
  <c r="U296" i="15"/>
  <c r="T296" i="15"/>
  <c r="L296" i="15"/>
  <c r="M296" i="15"/>
  <c r="J192" i="9" l="1"/>
  <c r="K190" i="9"/>
  <c r="L187" i="9" s="1"/>
  <c r="K189" i="9"/>
  <c r="P298" i="15"/>
  <c r="K299" i="15"/>
  <c r="G299" i="15"/>
  <c r="O298" i="15"/>
  <c r="F299" i="15"/>
  <c r="B299" i="15"/>
  <c r="I299" i="15"/>
  <c r="C299" i="15"/>
  <c r="J299" i="15"/>
  <c r="E299" i="15"/>
  <c r="V298" i="15"/>
  <c r="S298" i="15"/>
  <c r="Q298" i="15"/>
  <c r="L297" i="15"/>
  <c r="U297" i="15"/>
  <c r="M297" i="15"/>
  <c r="T297" i="15"/>
  <c r="K192" i="9" l="1"/>
  <c r="L190" i="9"/>
  <c r="M187" i="9" s="1"/>
  <c r="L189" i="9"/>
  <c r="P299" i="15"/>
  <c r="F300" i="15"/>
  <c r="B300" i="15"/>
  <c r="O299" i="15"/>
  <c r="I300" i="15"/>
  <c r="E300" i="15"/>
  <c r="K300" i="15"/>
  <c r="J300" i="15"/>
  <c r="G300" i="15"/>
  <c r="V299" i="15"/>
  <c r="C300" i="15"/>
  <c r="Q299" i="15"/>
  <c r="S299" i="15"/>
  <c r="M298" i="15"/>
  <c r="T298" i="15"/>
  <c r="L298" i="15"/>
  <c r="U298" i="15"/>
  <c r="L192" i="9" l="1"/>
  <c r="M190" i="9"/>
  <c r="N187" i="9" s="1"/>
  <c r="M189" i="9"/>
  <c r="P300" i="15"/>
  <c r="E301" i="15"/>
  <c r="B301" i="15"/>
  <c r="K301" i="15"/>
  <c r="I301" i="15"/>
  <c r="V300" i="15"/>
  <c r="C301" i="15"/>
  <c r="O300" i="15"/>
  <c r="G301" i="15"/>
  <c r="J301" i="15"/>
  <c r="F301" i="15"/>
  <c r="Q300" i="15"/>
  <c r="S300" i="15"/>
  <c r="T299" i="15"/>
  <c r="U299" i="15"/>
  <c r="M299" i="15"/>
  <c r="L299" i="15"/>
  <c r="N190" i="9" l="1"/>
  <c r="O190" i="9" s="1"/>
  <c r="N189" i="9"/>
  <c r="M192" i="9"/>
  <c r="J302" i="15"/>
  <c r="I302" i="15"/>
  <c r="O301" i="15"/>
  <c r="K302" i="15"/>
  <c r="C302" i="15"/>
  <c r="F302" i="15"/>
  <c r="E302" i="15"/>
  <c r="V301" i="15"/>
  <c r="G302" i="15"/>
  <c r="B302" i="15"/>
  <c r="P301" i="15"/>
  <c r="Q301" i="15"/>
  <c r="S301" i="15"/>
  <c r="M300" i="15"/>
  <c r="T300" i="15"/>
  <c r="L300" i="15"/>
  <c r="U300" i="15"/>
  <c r="C196" i="9" l="1"/>
  <c r="N192" i="9"/>
  <c r="O192" i="9" s="1"/>
  <c r="O189" i="9"/>
  <c r="P302" i="15"/>
  <c r="K303" i="15"/>
  <c r="C303" i="15"/>
  <c r="O302" i="15"/>
  <c r="F303" i="15"/>
  <c r="G303" i="15"/>
  <c r="V302" i="15"/>
  <c r="B303" i="15"/>
  <c r="J303" i="15"/>
  <c r="I303" i="15"/>
  <c r="E303" i="15"/>
  <c r="S302" i="15"/>
  <c r="Q302" i="15"/>
  <c r="U301" i="15"/>
  <c r="M301" i="15"/>
  <c r="T301" i="15"/>
  <c r="L301" i="15"/>
  <c r="C198" i="9" l="1"/>
  <c r="C199" i="9"/>
  <c r="D196" i="9" s="1"/>
  <c r="T302" i="15"/>
  <c r="U302" i="15"/>
  <c r="L302" i="15"/>
  <c r="M302" i="15"/>
  <c r="P303" i="15"/>
  <c r="J304" i="15"/>
  <c r="G304" i="15"/>
  <c r="O303" i="15"/>
  <c r="E304" i="15"/>
  <c r="B304" i="15"/>
  <c r="I304" i="15"/>
  <c r="V303" i="15"/>
  <c r="C304" i="15"/>
  <c r="K304" i="15"/>
  <c r="F304" i="15"/>
  <c r="S303" i="15"/>
  <c r="Q303" i="15"/>
  <c r="D198" i="9" l="1"/>
  <c r="D199" i="9"/>
  <c r="E196" i="9" s="1"/>
  <c r="C201" i="9"/>
  <c r="U303" i="15"/>
  <c r="L303" i="15"/>
  <c r="T303" i="15"/>
  <c r="M303" i="15"/>
  <c r="P304" i="15"/>
  <c r="E305" i="15"/>
  <c r="B305" i="15"/>
  <c r="K305" i="15"/>
  <c r="I305" i="15"/>
  <c r="J305" i="15"/>
  <c r="F305" i="15"/>
  <c r="O304" i="15"/>
  <c r="C305" i="15"/>
  <c r="G305" i="15"/>
  <c r="V304" i="15"/>
  <c r="Q304" i="15"/>
  <c r="S304" i="15"/>
  <c r="E198" i="9" l="1"/>
  <c r="E199" i="9"/>
  <c r="F196" i="9" s="1"/>
  <c r="D201" i="9"/>
  <c r="J306" i="15"/>
  <c r="I306" i="15"/>
  <c r="O305" i="15"/>
  <c r="F306" i="15"/>
  <c r="C306" i="15"/>
  <c r="P305" i="15"/>
  <c r="G306" i="15"/>
  <c r="V305" i="15"/>
  <c r="B306" i="15"/>
  <c r="E306" i="15"/>
  <c r="K306" i="15"/>
  <c r="Q305" i="15"/>
  <c r="S305" i="15"/>
  <c r="M304" i="15"/>
  <c r="T304" i="15"/>
  <c r="L304" i="15"/>
  <c r="U304" i="15"/>
  <c r="F199" i="9" l="1"/>
  <c r="G196" i="9" s="1"/>
  <c r="F198" i="9"/>
  <c r="E201" i="9"/>
  <c r="U305" i="15"/>
  <c r="M305" i="15"/>
  <c r="L305" i="15"/>
  <c r="T305" i="15"/>
  <c r="P306" i="15"/>
  <c r="K307" i="15"/>
  <c r="C307" i="15"/>
  <c r="O306" i="15"/>
  <c r="F307" i="15"/>
  <c r="G307" i="15"/>
  <c r="E307" i="15"/>
  <c r="I307" i="15"/>
  <c r="V306" i="15"/>
  <c r="J307" i="15"/>
  <c r="B307" i="15"/>
  <c r="Q306" i="15"/>
  <c r="S306" i="15"/>
  <c r="F201" i="9" l="1"/>
  <c r="G199" i="9"/>
  <c r="H196" i="9" s="1"/>
  <c r="G198" i="9"/>
  <c r="P307" i="15"/>
  <c r="J308" i="15"/>
  <c r="G308" i="15"/>
  <c r="O307" i="15"/>
  <c r="E308" i="15"/>
  <c r="B308" i="15"/>
  <c r="K308" i="15"/>
  <c r="F308" i="15"/>
  <c r="V307" i="15"/>
  <c r="I308" i="15"/>
  <c r="C308" i="15"/>
  <c r="S307" i="15"/>
  <c r="Q307" i="15"/>
  <c r="T306" i="15"/>
  <c r="U306" i="15"/>
  <c r="L306" i="15"/>
  <c r="M306" i="15"/>
  <c r="G201" i="9" l="1"/>
  <c r="H198" i="9"/>
  <c r="H199" i="9"/>
  <c r="I196" i="9" s="1"/>
  <c r="U307" i="15"/>
  <c r="L307" i="15"/>
  <c r="T307" i="15"/>
  <c r="M307" i="15"/>
  <c r="P308" i="15"/>
  <c r="E309" i="15"/>
  <c r="B309" i="15"/>
  <c r="K309" i="15"/>
  <c r="I309" i="15"/>
  <c r="V308" i="15"/>
  <c r="C309" i="15"/>
  <c r="O308" i="15"/>
  <c r="G309" i="15"/>
  <c r="F309" i="15"/>
  <c r="J309" i="15"/>
  <c r="Q308" i="15"/>
  <c r="S308" i="15"/>
  <c r="I198" i="9" l="1"/>
  <c r="I199" i="9"/>
  <c r="J196" i="9" s="1"/>
  <c r="H201" i="9"/>
  <c r="J310" i="15"/>
  <c r="I310" i="15"/>
  <c r="O309" i="15"/>
  <c r="F310" i="15"/>
  <c r="C310" i="15"/>
  <c r="K310" i="15"/>
  <c r="E310" i="15"/>
  <c r="B310" i="15"/>
  <c r="P309" i="15"/>
  <c r="V309" i="15"/>
  <c r="G310" i="15"/>
  <c r="S309" i="15"/>
  <c r="Q309" i="15"/>
  <c r="M308" i="15"/>
  <c r="T308" i="15"/>
  <c r="L308" i="15"/>
  <c r="U308" i="15"/>
  <c r="J198" i="9" l="1"/>
  <c r="J199" i="9"/>
  <c r="K196" i="9" s="1"/>
  <c r="I201" i="9"/>
  <c r="P310" i="15"/>
  <c r="K311" i="15"/>
  <c r="C311" i="15"/>
  <c r="O310" i="15"/>
  <c r="F311" i="15"/>
  <c r="G311" i="15"/>
  <c r="V310" i="15"/>
  <c r="B311" i="15"/>
  <c r="J311" i="15"/>
  <c r="E311" i="15"/>
  <c r="I311" i="15"/>
  <c r="Q310" i="15"/>
  <c r="S310" i="15"/>
  <c r="M309" i="15"/>
  <c r="U309" i="15"/>
  <c r="T309" i="15"/>
  <c r="L309" i="15"/>
  <c r="K199" i="9" l="1"/>
  <c r="L196" i="9" s="1"/>
  <c r="K198" i="9"/>
  <c r="J201" i="9"/>
  <c r="P311" i="15"/>
  <c r="J312" i="15"/>
  <c r="G312" i="15"/>
  <c r="O311" i="15"/>
  <c r="E312" i="15"/>
  <c r="B312" i="15"/>
  <c r="I312" i="15"/>
  <c r="V311" i="15"/>
  <c r="C312" i="15"/>
  <c r="F312" i="15"/>
  <c r="K312" i="15"/>
  <c r="Q311" i="15"/>
  <c r="S311" i="15"/>
  <c r="U310" i="15"/>
  <c r="L310" i="15"/>
  <c r="M310" i="15"/>
  <c r="T310" i="15"/>
  <c r="L198" i="9" l="1"/>
  <c r="L199" i="9"/>
  <c r="M196" i="9" s="1"/>
  <c r="K201" i="9"/>
  <c r="P312" i="15"/>
  <c r="E313" i="15"/>
  <c r="B313" i="15"/>
  <c r="K313" i="15"/>
  <c r="I313" i="15"/>
  <c r="J313" i="15"/>
  <c r="F313" i="15"/>
  <c r="G313" i="15"/>
  <c r="V312" i="15"/>
  <c r="O312" i="15"/>
  <c r="C313" i="15"/>
  <c r="S312" i="15"/>
  <c r="Q312" i="15"/>
  <c r="T311" i="15"/>
  <c r="L311" i="15"/>
  <c r="U311" i="15"/>
  <c r="M311" i="15"/>
  <c r="M199" i="9" l="1"/>
  <c r="N196" i="9" s="1"/>
  <c r="M198" i="9"/>
  <c r="L201" i="9"/>
  <c r="M312" i="15"/>
  <c r="L312" i="15"/>
  <c r="T312" i="15"/>
  <c r="U312" i="15"/>
  <c r="J314" i="15"/>
  <c r="I314" i="15"/>
  <c r="O313" i="15"/>
  <c r="F314" i="15"/>
  <c r="C314" i="15"/>
  <c r="P313" i="15"/>
  <c r="G314" i="15"/>
  <c r="V313" i="15"/>
  <c r="B314" i="15"/>
  <c r="K314" i="15"/>
  <c r="E314" i="15"/>
  <c r="S313" i="15"/>
  <c r="Q313" i="15"/>
  <c r="N198" i="9" l="1"/>
  <c r="N199" i="9"/>
  <c r="O199" i="9" s="1"/>
  <c r="M201" i="9"/>
  <c r="M313" i="15"/>
  <c r="T313" i="15"/>
  <c r="L313" i="15"/>
  <c r="U313" i="15"/>
  <c r="P314" i="15"/>
  <c r="K315" i="15"/>
  <c r="C315" i="15"/>
  <c r="O314" i="15"/>
  <c r="F315" i="15"/>
  <c r="G315" i="15"/>
  <c r="E315" i="15"/>
  <c r="I315" i="15"/>
  <c r="J315" i="15"/>
  <c r="B315" i="15"/>
  <c r="V314" i="15"/>
  <c r="Q314" i="15"/>
  <c r="S314" i="15"/>
  <c r="C205" i="9" l="1"/>
  <c r="N201" i="9"/>
  <c r="O201" i="9" s="1"/>
  <c r="O198" i="9"/>
  <c r="P315" i="15"/>
  <c r="F316" i="15"/>
  <c r="G316" i="15"/>
  <c r="O315" i="15"/>
  <c r="E316" i="15"/>
  <c r="B316" i="15"/>
  <c r="K316" i="15"/>
  <c r="J316" i="15"/>
  <c r="C316" i="15"/>
  <c r="V315" i="15"/>
  <c r="I316" i="15"/>
  <c r="S315" i="15"/>
  <c r="Q315" i="15"/>
  <c r="L314" i="15"/>
  <c r="T314" i="15"/>
  <c r="M314" i="15"/>
  <c r="U314" i="15"/>
  <c r="C208" i="9" l="1"/>
  <c r="D205" i="9" s="1"/>
  <c r="C207" i="9"/>
  <c r="P316" i="15"/>
  <c r="E317" i="15"/>
  <c r="B317" i="15"/>
  <c r="K317" i="15"/>
  <c r="I317" i="15"/>
  <c r="V316" i="15"/>
  <c r="C317" i="15"/>
  <c r="O316" i="15"/>
  <c r="G317" i="15"/>
  <c r="J317" i="15"/>
  <c r="F317" i="15"/>
  <c r="S316" i="15"/>
  <c r="Q316" i="15"/>
  <c r="L315" i="15"/>
  <c r="T315" i="15"/>
  <c r="M315" i="15"/>
  <c r="U315" i="15"/>
  <c r="C210" i="9" l="1"/>
  <c r="D208" i="9"/>
  <c r="E205" i="9" s="1"/>
  <c r="D207" i="9"/>
  <c r="M316" i="15"/>
  <c r="L316" i="15"/>
  <c r="T316" i="15"/>
  <c r="U316" i="15"/>
  <c r="J318" i="15"/>
  <c r="I318" i="15"/>
  <c r="O317" i="15"/>
  <c r="K318" i="15"/>
  <c r="C318" i="15"/>
  <c r="F318" i="15"/>
  <c r="E318" i="15"/>
  <c r="V317" i="15"/>
  <c r="G318" i="15"/>
  <c r="B318" i="15"/>
  <c r="P317" i="15"/>
  <c r="S317" i="15"/>
  <c r="Q317" i="15"/>
  <c r="D210" i="9" l="1"/>
  <c r="E207" i="9"/>
  <c r="E208" i="9"/>
  <c r="F205" i="9" s="1"/>
  <c r="T317" i="15"/>
  <c r="L317" i="15"/>
  <c r="U317" i="15"/>
  <c r="M317" i="15"/>
  <c r="P318" i="15"/>
  <c r="K319" i="15"/>
  <c r="C319" i="15"/>
  <c r="O318" i="15"/>
  <c r="F319" i="15"/>
  <c r="G319" i="15"/>
  <c r="V318" i="15"/>
  <c r="B319" i="15"/>
  <c r="J319" i="15"/>
  <c r="I319" i="15"/>
  <c r="E319" i="15"/>
  <c r="S318" i="15"/>
  <c r="Q318" i="15"/>
  <c r="E210" i="9" l="1"/>
  <c r="F208" i="9"/>
  <c r="G205" i="9" s="1"/>
  <c r="F207" i="9"/>
  <c r="T318" i="15"/>
  <c r="U318" i="15"/>
  <c r="L318" i="15"/>
  <c r="M318" i="15"/>
  <c r="P319" i="15"/>
  <c r="J320" i="15"/>
  <c r="G320" i="15"/>
  <c r="O319" i="15"/>
  <c r="E320" i="15"/>
  <c r="B320" i="15"/>
  <c r="I320" i="15"/>
  <c r="V319" i="15"/>
  <c r="C320" i="15"/>
  <c r="K320" i="15"/>
  <c r="F320" i="15"/>
  <c r="S319" i="15"/>
  <c r="Q319" i="15"/>
  <c r="F210" i="9" l="1"/>
  <c r="G207" i="9"/>
  <c r="G208" i="9"/>
  <c r="H205" i="9" s="1"/>
  <c r="T319" i="15"/>
  <c r="L319" i="15"/>
  <c r="M319" i="15"/>
  <c r="U319" i="15"/>
  <c r="K321" i="15"/>
  <c r="E321" i="15"/>
  <c r="B321" i="15"/>
  <c r="P320" i="15"/>
  <c r="I321" i="15"/>
  <c r="J321" i="15"/>
  <c r="F321" i="15"/>
  <c r="O320" i="15"/>
  <c r="C321" i="15"/>
  <c r="G321" i="15"/>
  <c r="V320" i="15"/>
  <c r="Q320" i="15"/>
  <c r="S320" i="15"/>
  <c r="H208" i="9" l="1"/>
  <c r="I205" i="9" s="1"/>
  <c r="H207" i="9"/>
  <c r="G210" i="9"/>
  <c r="J322" i="15"/>
  <c r="I322" i="15"/>
  <c r="O321" i="15"/>
  <c r="F322" i="15"/>
  <c r="C322" i="15"/>
  <c r="P321" i="15"/>
  <c r="G322" i="15"/>
  <c r="V321" i="15"/>
  <c r="B322" i="15"/>
  <c r="E322" i="15"/>
  <c r="K322" i="15"/>
  <c r="Q321" i="15"/>
  <c r="S321" i="15"/>
  <c r="M320" i="15"/>
  <c r="L320" i="15"/>
  <c r="T320" i="15"/>
  <c r="U320" i="15"/>
  <c r="H210" i="9" l="1"/>
  <c r="I208" i="9"/>
  <c r="J205" i="9" s="1"/>
  <c r="I207" i="9"/>
  <c r="M321" i="15"/>
  <c r="U321" i="15"/>
  <c r="L321" i="15"/>
  <c r="T321" i="15"/>
  <c r="P322" i="15"/>
  <c r="K323" i="15"/>
  <c r="C323" i="15"/>
  <c r="O322" i="15"/>
  <c r="F323" i="15"/>
  <c r="G323" i="15"/>
  <c r="E323" i="15"/>
  <c r="I323" i="15"/>
  <c r="V322" i="15"/>
  <c r="J323" i="15"/>
  <c r="B323" i="15"/>
  <c r="Q322" i="15"/>
  <c r="S322" i="15"/>
  <c r="I210" i="9" l="1"/>
  <c r="J207" i="9"/>
  <c r="J208" i="9"/>
  <c r="K205" i="9" s="1"/>
  <c r="P323" i="15"/>
  <c r="F324" i="15"/>
  <c r="G324" i="15"/>
  <c r="O323" i="15"/>
  <c r="E324" i="15"/>
  <c r="B324" i="15"/>
  <c r="K324" i="15"/>
  <c r="J324" i="15"/>
  <c r="V323" i="15"/>
  <c r="I324" i="15"/>
  <c r="C324" i="15"/>
  <c r="S323" i="15"/>
  <c r="Q323" i="15"/>
  <c r="U322" i="15"/>
  <c r="T322" i="15"/>
  <c r="L322" i="15"/>
  <c r="M322" i="15"/>
  <c r="K207" i="9" l="1"/>
  <c r="K208" i="9"/>
  <c r="L205" i="9" s="1"/>
  <c r="J210" i="9"/>
  <c r="T323" i="15"/>
  <c r="L323" i="15"/>
  <c r="M323" i="15"/>
  <c r="U323" i="15"/>
  <c r="P324" i="15"/>
  <c r="E325" i="15"/>
  <c r="B325" i="15"/>
  <c r="K325" i="15"/>
  <c r="I325" i="15"/>
  <c r="V324" i="15"/>
  <c r="C325" i="15"/>
  <c r="O324" i="15"/>
  <c r="G325" i="15"/>
  <c r="F325" i="15"/>
  <c r="J325" i="15"/>
  <c r="Q324" i="15"/>
  <c r="S324" i="15"/>
  <c r="L208" i="9" l="1"/>
  <c r="M205" i="9" s="1"/>
  <c r="L207" i="9"/>
  <c r="K210" i="9"/>
  <c r="J326" i="15"/>
  <c r="I326" i="15"/>
  <c r="O325" i="15"/>
  <c r="F326" i="15"/>
  <c r="C326" i="15"/>
  <c r="K326" i="15"/>
  <c r="E326" i="15"/>
  <c r="B326" i="15"/>
  <c r="P325" i="15"/>
  <c r="V325" i="15"/>
  <c r="G326" i="15"/>
  <c r="S325" i="15"/>
  <c r="Q325" i="15"/>
  <c r="T324" i="15"/>
  <c r="M324" i="15"/>
  <c r="U324" i="15"/>
  <c r="L324" i="15"/>
  <c r="M207" i="9" l="1"/>
  <c r="M208" i="9"/>
  <c r="N205" i="9" s="1"/>
  <c r="L210" i="9"/>
  <c r="T325" i="15"/>
  <c r="U325" i="15"/>
  <c r="M325" i="15"/>
  <c r="L325" i="15"/>
  <c r="P326" i="15"/>
  <c r="K327" i="15"/>
  <c r="C327" i="15"/>
  <c r="O326" i="15"/>
  <c r="F327" i="15"/>
  <c r="G327" i="15"/>
  <c r="V326" i="15"/>
  <c r="B327" i="15"/>
  <c r="J327" i="15"/>
  <c r="I327" i="15"/>
  <c r="E327" i="15"/>
  <c r="Q326" i="15"/>
  <c r="S326" i="15"/>
  <c r="N207" i="9" l="1"/>
  <c r="N208" i="9"/>
  <c r="O208" i="9" s="1"/>
  <c r="M210" i="9"/>
  <c r="P327" i="15"/>
  <c r="F328" i="15"/>
  <c r="C328" i="15"/>
  <c r="V327" i="15"/>
  <c r="J328" i="15"/>
  <c r="B328" i="15"/>
  <c r="K328" i="15"/>
  <c r="E328" i="15"/>
  <c r="I328" i="15"/>
  <c r="G328" i="15"/>
  <c r="O327" i="15"/>
  <c r="Q327" i="15"/>
  <c r="S327" i="15"/>
  <c r="U326" i="15"/>
  <c r="L326" i="15"/>
  <c r="M326" i="15"/>
  <c r="T326" i="15"/>
  <c r="N210" i="9" l="1"/>
  <c r="O210" i="9" s="1"/>
  <c r="O207" i="9"/>
  <c r="O328" i="15"/>
  <c r="F329" i="15"/>
  <c r="B329" i="15"/>
  <c r="P328" i="15"/>
  <c r="E329" i="15"/>
  <c r="G329" i="15"/>
  <c r="V328" i="15"/>
  <c r="C329" i="15"/>
  <c r="K329" i="15"/>
  <c r="J329" i="15"/>
  <c r="I329" i="15"/>
  <c r="Q328" i="15"/>
  <c r="S328" i="15"/>
  <c r="T327" i="15"/>
  <c r="U327" i="15"/>
  <c r="M327" i="15"/>
  <c r="L327" i="15"/>
  <c r="V329" i="15" l="1"/>
  <c r="E330" i="15"/>
  <c r="G330" i="15"/>
  <c r="J330" i="15"/>
  <c r="I330" i="15"/>
  <c r="K330" i="15"/>
  <c r="O329" i="15"/>
  <c r="C330" i="15"/>
  <c r="P329" i="15"/>
  <c r="B330" i="15"/>
  <c r="F330" i="15"/>
  <c r="Q329" i="15"/>
  <c r="S329" i="15"/>
  <c r="M328" i="15"/>
  <c r="L328" i="15"/>
  <c r="U328" i="15"/>
  <c r="T328" i="15"/>
  <c r="J331" i="15" l="1"/>
  <c r="I331" i="15"/>
  <c r="P330" i="15"/>
  <c r="K331" i="15"/>
  <c r="C331" i="15"/>
  <c r="V330" i="15"/>
  <c r="B331" i="15"/>
  <c r="F331" i="15"/>
  <c r="E331" i="15"/>
  <c r="G331" i="15"/>
  <c r="O330" i="15"/>
  <c r="Q330" i="15"/>
  <c r="S330" i="15"/>
  <c r="T329" i="15"/>
  <c r="U329" i="15"/>
  <c r="M329" i="15"/>
  <c r="L329" i="15"/>
  <c r="L330" i="15" l="1"/>
  <c r="M330" i="15"/>
  <c r="T330" i="15"/>
  <c r="U330" i="15"/>
  <c r="V331" i="15"/>
  <c r="J332" i="15"/>
  <c r="C332" i="15"/>
  <c r="P331" i="15"/>
  <c r="F332" i="15"/>
  <c r="G332" i="15"/>
  <c r="I332" i="15"/>
  <c r="O331" i="15"/>
  <c r="B332" i="15"/>
  <c r="K332" i="15"/>
  <c r="E332" i="15"/>
  <c r="Q331" i="15"/>
  <c r="S331" i="15"/>
  <c r="T331" i="15" l="1"/>
  <c r="M331" i="15"/>
  <c r="L331" i="15"/>
  <c r="U331" i="15"/>
  <c r="O332" i="15"/>
  <c r="F333" i="15"/>
  <c r="G333" i="15"/>
  <c r="P332" i="15"/>
  <c r="E333" i="15"/>
  <c r="B333" i="15"/>
  <c r="J333" i="15"/>
  <c r="I333" i="15"/>
  <c r="V332" i="15"/>
  <c r="C333" i="15"/>
  <c r="K333" i="15"/>
  <c r="S332" i="15"/>
  <c r="Q332" i="15"/>
  <c r="T332" i="15" l="1"/>
  <c r="M332" i="15"/>
  <c r="U332" i="15"/>
  <c r="L332" i="15"/>
  <c r="V333" i="15"/>
  <c r="E334" i="15"/>
  <c r="B334" i="15"/>
  <c r="J334" i="15"/>
  <c r="I334" i="15"/>
  <c r="P333" i="15"/>
  <c r="G334" i="15"/>
  <c r="K334" i="15"/>
  <c r="F334" i="15"/>
  <c r="C334" i="15"/>
  <c r="O333" i="15"/>
  <c r="Q333" i="15"/>
  <c r="S333" i="15"/>
  <c r="J335" i="15" l="1"/>
  <c r="I335" i="15"/>
  <c r="P334" i="15"/>
  <c r="K335" i="15"/>
  <c r="C335" i="15"/>
  <c r="E335" i="15"/>
  <c r="O334" i="15"/>
  <c r="G335" i="15"/>
  <c r="V334" i="15"/>
  <c r="B335" i="15"/>
  <c r="F335" i="15"/>
  <c r="Q334" i="15"/>
  <c r="S334" i="15"/>
  <c r="U333" i="15"/>
  <c r="L333" i="15"/>
  <c r="M333" i="15"/>
  <c r="T333" i="15"/>
  <c r="V335" i="15" l="1"/>
  <c r="F336" i="15"/>
  <c r="C336" i="15"/>
  <c r="P335" i="15"/>
  <c r="J336" i="15"/>
  <c r="G336" i="15"/>
  <c r="K336" i="15"/>
  <c r="E336" i="15"/>
  <c r="I336" i="15"/>
  <c r="O335" i="15"/>
  <c r="B336" i="15"/>
  <c r="Q335" i="15"/>
  <c r="S335" i="15"/>
  <c r="M334" i="15"/>
  <c r="L334" i="15"/>
  <c r="T334" i="15"/>
  <c r="U334" i="15"/>
  <c r="O336" i="15" l="1"/>
  <c r="F337" i="15"/>
  <c r="G337" i="15"/>
  <c r="P336" i="15"/>
  <c r="E337" i="15"/>
  <c r="B337" i="15"/>
  <c r="V336" i="15"/>
  <c r="C337" i="15"/>
  <c r="K337" i="15"/>
  <c r="J337" i="15"/>
  <c r="I337" i="15"/>
  <c r="S336" i="15"/>
  <c r="Q336" i="15"/>
  <c r="M335" i="15"/>
  <c r="T335" i="15"/>
  <c r="L335" i="15"/>
  <c r="U335" i="15"/>
  <c r="L336" i="15" l="1"/>
  <c r="U336" i="15"/>
  <c r="T336" i="15"/>
  <c r="M336" i="15"/>
  <c r="V337" i="15"/>
  <c r="E338" i="15"/>
  <c r="B338" i="15"/>
  <c r="J338" i="15"/>
  <c r="I338" i="15"/>
  <c r="K338" i="15"/>
  <c r="O337" i="15"/>
  <c r="C338" i="15"/>
  <c r="P337" i="15"/>
  <c r="G338" i="15"/>
  <c r="F338" i="15"/>
  <c r="Q337" i="15"/>
  <c r="S337" i="15"/>
  <c r="J339" i="15" l="1"/>
  <c r="I339" i="15"/>
  <c r="P338" i="15"/>
  <c r="K339" i="15"/>
  <c r="C339" i="15"/>
  <c r="V338" i="15"/>
  <c r="B339" i="15"/>
  <c r="F339" i="15"/>
  <c r="E339" i="15"/>
  <c r="O338" i="15"/>
  <c r="G339" i="15"/>
  <c r="S338" i="15"/>
  <c r="Q338" i="15"/>
  <c r="U337" i="15"/>
  <c r="M337" i="15"/>
  <c r="T337" i="15"/>
  <c r="L337" i="15"/>
  <c r="L338" i="15" l="1"/>
  <c r="M338" i="15"/>
  <c r="T338" i="15"/>
  <c r="U338" i="15"/>
  <c r="V339" i="15"/>
  <c r="F340" i="15"/>
  <c r="C340" i="15"/>
  <c r="P339" i="15"/>
  <c r="J340" i="15"/>
  <c r="G340" i="15"/>
  <c r="I340" i="15"/>
  <c r="O339" i="15"/>
  <c r="B340" i="15"/>
  <c r="K340" i="15"/>
  <c r="E340" i="15"/>
  <c r="Q339" i="15"/>
  <c r="S339" i="15"/>
  <c r="U339" i="15" l="1"/>
  <c r="M339" i="15"/>
  <c r="L339" i="15"/>
  <c r="T339" i="15"/>
  <c r="O340" i="15"/>
  <c r="F341" i="15"/>
  <c r="G341" i="15"/>
  <c r="P340" i="15"/>
  <c r="E341" i="15"/>
  <c r="B341" i="15"/>
  <c r="J341" i="15"/>
  <c r="I341" i="15"/>
  <c r="V340" i="15"/>
  <c r="C341" i="15"/>
  <c r="K341" i="15"/>
  <c r="S340" i="15"/>
  <c r="Q340" i="15"/>
  <c r="L340" i="15" l="1"/>
  <c r="U340" i="15"/>
  <c r="T340" i="15"/>
  <c r="M340" i="15"/>
  <c r="J342" i="15"/>
  <c r="E342" i="15"/>
  <c r="B342" i="15"/>
  <c r="F342" i="15"/>
  <c r="I342" i="15"/>
  <c r="P341" i="15"/>
  <c r="G342" i="15"/>
  <c r="V341" i="15"/>
  <c r="K342" i="15"/>
  <c r="O341" i="15"/>
  <c r="C342" i="15"/>
  <c r="Q341" i="15"/>
  <c r="S341" i="15"/>
  <c r="J343" i="15" l="1"/>
  <c r="I343" i="15"/>
  <c r="P342" i="15"/>
  <c r="K343" i="15"/>
  <c r="C343" i="15"/>
  <c r="E343" i="15"/>
  <c r="O342" i="15"/>
  <c r="G343" i="15"/>
  <c r="V342" i="15"/>
  <c r="B343" i="15"/>
  <c r="F343" i="15"/>
  <c r="S342" i="15"/>
  <c r="Q342" i="15"/>
  <c r="L341" i="15"/>
  <c r="M341" i="15"/>
  <c r="U341" i="15"/>
  <c r="T341" i="15"/>
  <c r="T342" i="15" l="1"/>
  <c r="L342" i="15"/>
  <c r="M342" i="15"/>
  <c r="U342" i="15"/>
  <c r="V343" i="15"/>
  <c r="F344" i="15"/>
  <c r="C344" i="15"/>
  <c r="P343" i="15"/>
  <c r="J344" i="15"/>
  <c r="G344" i="15"/>
  <c r="K344" i="15"/>
  <c r="E344" i="15"/>
  <c r="I344" i="15"/>
  <c r="O343" i="15"/>
  <c r="B344" i="15"/>
  <c r="Q343" i="15"/>
  <c r="S343" i="15"/>
  <c r="O344" i="15" l="1"/>
  <c r="F345" i="15"/>
  <c r="G345" i="15"/>
  <c r="P344" i="15"/>
  <c r="E345" i="15"/>
  <c r="B345" i="15"/>
  <c r="V344" i="15"/>
  <c r="C345" i="15"/>
  <c r="K345" i="15"/>
  <c r="J345" i="15"/>
  <c r="I345" i="15"/>
  <c r="Q344" i="15"/>
  <c r="S344" i="15"/>
  <c r="L343" i="15"/>
  <c r="T343" i="15"/>
  <c r="M343" i="15"/>
  <c r="U343" i="15"/>
  <c r="V345" i="15" l="1"/>
  <c r="E346" i="15"/>
  <c r="B346" i="15"/>
  <c r="J346" i="15"/>
  <c r="I346" i="15"/>
  <c r="K346" i="15"/>
  <c r="O345" i="15"/>
  <c r="C346" i="15"/>
  <c r="P345" i="15"/>
  <c r="G346" i="15"/>
  <c r="F346" i="15"/>
  <c r="Q345" i="15"/>
  <c r="S345" i="15"/>
  <c r="T344" i="15"/>
  <c r="M344" i="15"/>
  <c r="U344" i="15"/>
  <c r="L344" i="15"/>
  <c r="J347" i="15" l="1"/>
  <c r="I347" i="15"/>
  <c r="P346" i="15"/>
  <c r="K347" i="15"/>
  <c r="C347" i="15"/>
  <c r="V346" i="15"/>
  <c r="B347" i="15"/>
  <c r="F347" i="15"/>
  <c r="E347" i="15"/>
  <c r="O346" i="15"/>
  <c r="G347" i="15"/>
  <c r="Q346" i="15"/>
  <c r="S346" i="15"/>
  <c r="U345" i="15"/>
  <c r="M345" i="15"/>
  <c r="L345" i="15"/>
  <c r="T345" i="15"/>
  <c r="V347" i="15" l="1"/>
  <c r="F348" i="15"/>
  <c r="C348" i="15"/>
  <c r="P347" i="15"/>
  <c r="J348" i="15"/>
  <c r="G348" i="15"/>
  <c r="I348" i="15"/>
  <c r="O347" i="15"/>
  <c r="B348" i="15"/>
  <c r="K348" i="15"/>
  <c r="E348" i="15"/>
  <c r="S347" i="15"/>
  <c r="Q347" i="15"/>
  <c r="U346" i="15"/>
  <c r="M346" i="15"/>
  <c r="L346" i="15"/>
  <c r="T346" i="15"/>
  <c r="L347" i="15" l="1"/>
  <c r="M347" i="15"/>
  <c r="U347" i="15"/>
  <c r="T347" i="15"/>
  <c r="O348" i="15"/>
  <c r="F349" i="15"/>
  <c r="G349" i="15"/>
  <c r="P348" i="15"/>
  <c r="E349" i="15"/>
  <c r="B349" i="15"/>
  <c r="J349" i="15"/>
  <c r="I349" i="15"/>
  <c r="V348" i="15"/>
  <c r="C349" i="15"/>
  <c r="K349" i="15"/>
  <c r="Q348" i="15"/>
  <c r="S348" i="15"/>
  <c r="V349" i="15" l="1"/>
  <c r="E350" i="15"/>
  <c r="B350" i="15"/>
  <c r="J350" i="15"/>
  <c r="I350" i="15"/>
  <c r="P349" i="15"/>
  <c r="G350" i="15"/>
  <c r="K350" i="15"/>
  <c r="F350" i="15"/>
  <c r="O349" i="15"/>
  <c r="C350" i="15"/>
  <c r="Q349" i="15"/>
  <c r="S349" i="15"/>
  <c r="M348" i="15"/>
  <c r="T348" i="15"/>
  <c r="L348" i="15"/>
  <c r="U348" i="15"/>
  <c r="J351" i="15" l="1"/>
  <c r="I351" i="15"/>
  <c r="P350" i="15"/>
  <c r="K351" i="15"/>
  <c r="C351" i="15"/>
  <c r="E351" i="15"/>
  <c r="O350" i="15"/>
  <c r="G351" i="15"/>
  <c r="V350" i="15"/>
  <c r="B351" i="15"/>
  <c r="F351" i="15"/>
  <c r="S350" i="15"/>
  <c r="Q350" i="15"/>
  <c r="U349" i="15"/>
  <c r="L349" i="15"/>
  <c r="M349" i="15"/>
  <c r="T349" i="15"/>
  <c r="T350" i="15" l="1"/>
  <c r="U350" i="15"/>
  <c r="M350" i="15"/>
  <c r="L350" i="15"/>
  <c r="V351" i="15"/>
  <c r="F352" i="15"/>
  <c r="C352" i="15"/>
  <c r="P351" i="15"/>
  <c r="J352" i="15"/>
  <c r="G352" i="15"/>
  <c r="K352" i="15"/>
  <c r="E352" i="15"/>
  <c r="I352" i="15"/>
  <c r="O351" i="15"/>
  <c r="B352" i="15"/>
  <c r="S351" i="15"/>
  <c r="Q351" i="15"/>
  <c r="L351" i="15" l="1"/>
  <c r="T351" i="15"/>
  <c r="U351" i="15"/>
  <c r="M351" i="15"/>
  <c r="O352" i="15"/>
  <c r="F353" i="15"/>
  <c r="G353" i="15"/>
  <c r="P352" i="15"/>
  <c r="E353" i="15"/>
  <c r="B353" i="15"/>
  <c r="V352" i="15"/>
  <c r="C353" i="15"/>
  <c r="K353" i="15"/>
  <c r="J353" i="15"/>
  <c r="I353" i="15"/>
  <c r="Q352" i="15"/>
  <c r="S352" i="15"/>
  <c r="V353" i="15" l="1"/>
  <c r="E354" i="15"/>
  <c r="B354" i="15"/>
  <c r="J354" i="15"/>
  <c r="I354" i="15"/>
  <c r="K354" i="15"/>
  <c r="O353" i="15"/>
  <c r="C354" i="15"/>
  <c r="P353" i="15"/>
  <c r="G354" i="15"/>
  <c r="F354" i="15"/>
  <c r="Q353" i="15"/>
  <c r="S353" i="15"/>
  <c r="T352" i="15"/>
  <c r="M352" i="15"/>
  <c r="L352" i="15"/>
  <c r="U352" i="15"/>
  <c r="J355" i="15" l="1"/>
  <c r="I355" i="15"/>
  <c r="P354" i="15"/>
  <c r="K355" i="15"/>
  <c r="C355" i="15"/>
  <c r="V354" i="15"/>
  <c r="B355" i="15"/>
  <c r="F355" i="15"/>
  <c r="E355" i="15"/>
  <c r="O354" i="15"/>
  <c r="G355" i="15"/>
  <c r="Q354" i="15"/>
  <c r="S354" i="15"/>
  <c r="U353" i="15"/>
  <c r="M353" i="15"/>
  <c r="L353" i="15"/>
  <c r="T353" i="15"/>
  <c r="V355" i="15" l="1"/>
  <c r="J356" i="15"/>
  <c r="C356" i="15"/>
  <c r="P355" i="15"/>
  <c r="F356" i="15"/>
  <c r="G356" i="15"/>
  <c r="I356" i="15"/>
  <c r="O355" i="15"/>
  <c r="B356" i="15"/>
  <c r="K356" i="15"/>
  <c r="E356" i="15"/>
  <c r="S355" i="15"/>
  <c r="Q355" i="15"/>
  <c r="T354" i="15"/>
  <c r="M354" i="15"/>
  <c r="U354" i="15"/>
  <c r="L354" i="15"/>
  <c r="U355" i="15" l="1"/>
  <c r="T355" i="15"/>
  <c r="L355" i="15"/>
  <c r="M355" i="15"/>
  <c r="O356" i="15"/>
  <c r="F357" i="15"/>
  <c r="G357" i="15"/>
  <c r="P356" i="15"/>
  <c r="E357" i="15"/>
  <c r="B357" i="15"/>
  <c r="J357" i="15"/>
  <c r="I357" i="15"/>
  <c r="V356" i="15"/>
  <c r="C357" i="15"/>
  <c r="K357" i="15"/>
  <c r="Q356" i="15"/>
  <c r="S356" i="15"/>
  <c r="V357" i="15" l="1"/>
  <c r="E358" i="15"/>
  <c r="B358" i="15"/>
  <c r="J358" i="15"/>
  <c r="I358" i="15"/>
  <c r="P357" i="15"/>
  <c r="G358" i="15"/>
  <c r="F358" i="15"/>
  <c r="K358" i="15"/>
  <c r="O357" i="15"/>
  <c r="C358" i="15"/>
  <c r="Q357" i="15"/>
  <c r="S357" i="15"/>
  <c r="T356" i="15"/>
  <c r="M356" i="15"/>
  <c r="U356" i="15"/>
  <c r="L356" i="15"/>
  <c r="J359" i="15" l="1"/>
  <c r="I359" i="15"/>
  <c r="P358" i="15"/>
  <c r="K359" i="15"/>
  <c r="C359" i="15"/>
  <c r="E359" i="15"/>
  <c r="O358" i="15"/>
  <c r="G359" i="15"/>
  <c r="V358" i="15"/>
  <c r="B359" i="15"/>
  <c r="F359" i="15"/>
  <c r="S358" i="15"/>
  <c r="Q358" i="15"/>
  <c r="M357" i="15"/>
  <c r="U357" i="15"/>
  <c r="T357" i="15"/>
  <c r="L357" i="15"/>
  <c r="T358" i="15" l="1"/>
  <c r="U358" i="15"/>
  <c r="M358" i="15"/>
  <c r="L358" i="15"/>
  <c r="V359" i="15"/>
  <c r="F360" i="15"/>
  <c r="C360" i="15"/>
  <c r="P359" i="15"/>
  <c r="J360" i="15"/>
  <c r="G360" i="15"/>
  <c r="K360" i="15"/>
  <c r="E360" i="15"/>
  <c r="I360" i="15"/>
  <c r="B360" i="15"/>
  <c r="O359" i="15"/>
  <c r="S359" i="15"/>
  <c r="Q359" i="15"/>
  <c r="O360" i="15" l="1"/>
  <c r="F361" i="15"/>
  <c r="G361" i="15"/>
  <c r="P360" i="15"/>
  <c r="E361" i="15"/>
  <c r="B361" i="15"/>
  <c r="V360" i="15"/>
  <c r="C361" i="15"/>
  <c r="K361" i="15"/>
  <c r="J361" i="15"/>
  <c r="I361" i="15"/>
  <c r="Q360" i="15"/>
  <c r="S360" i="15"/>
  <c r="L359" i="15"/>
  <c r="U359" i="15"/>
  <c r="T359" i="15"/>
  <c r="M359" i="15"/>
  <c r="V361" i="15" l="1"/>
  <c r="E362" i="15"/>
  <c r="B362" i="15"/>
  <c r="J362" i="15"/>
  <c r="I362" i="15"/>
  <c r="K362" i="15"/>
  <c r="O361" i="15"/>
  <c r="C362" i="15"/>
  <c r="P361" i="15"/>
  <c r="G362" i="15"/>
  <c r="F362" i="15"/>
  <c r="Q361" i="15"/>
  <c r="S361" i="15"/>
  <c r="T360" i="15"/>
  <c r="M360" i="15"/>
  <c r="U360" i="15"/>
  <c r="L360" i="15"/>
  <c r="J363" i="15" l="1"/>
  <c r="I363" i="15"/>
  <c r="P362" i="15"/>
  <c r="K363" i="15"/>
  <c r="C363" i="15"/>
  <c r="V362" i="15"/>
  <c r="B363" i="15"/>
  <c r="F363" i="15"/>
  <c r="E363" i="15"/>
  <c r="G363" i="15"/>
  <c r="O362" i="15"/>
  <c r="S362" i="15"/>
  <c r="Q362" i="15"/>
  <c r="U361" i="15"/>
  <c r="M361" i="15"/>
  <c r="T361" i="15"/>
  <c r="L361" i="15"/>
  <c r="T362" i="15" l="1"/>
  <c r="U362" i="15"/>
  <c r="L362" i="15"/>
  <c r="M362" i="15"/>
  <c r="V363" i="15"/>
  <c r="J364" i="15"/>
  <c r="C364" i="15"/>
  <c r="P363" i="15"/>
  <c r="F364" i="15"/>
  <c r="G364" i="15"/>
  <c r="I364" i="15"/>
  <c r="K364" i="15"/>
  <c r="B364" i="15"/>
  <c r="O363" i="15"/>
  <c r="E364" i="15"/>
  <c r="S363" i="15"/>
  <c r="Q363" i="15"/>
  <c r="U363" i="15" l="1"/>
  <c r="L363" i="15"/>
  <c r="T363" i="15"/>
  <c r="M363" i="15"/>
  <c r="O364" i="15"/>
  <c r="F365" i="15"/>
  <c r="G365" i="15"/>
  <c r="P364" i="15"/>
  <c r="E365" i="15"/>
  <c r="B365" i="15"/>
  <c r="J365" i="15"/>
  <c r="I365" i="15"/>
  <c r="V364" i="15"/>
  <c r="C365" i="15"/>
  <c r="K365" i="15"/>
  <c r="Q364" i="15"/>
  <c r="S364" i="15"/>
  <c r="V365" i="15" l="1"/>
  <c r="E366" i="15"/>
  <c r="B366" i="15"/>
  <c r="J366" i="15"/>
  <c r="I366" i="15"/>
  <c r="P365" i="15"/>
  <c r="G366" i="15"/>
  <c r="K366" i="15"/>
  <c r="F366" i="15"/>
  <c r="C366" i="15"/>
  <c r="O365" i="15"/>
  <c r="Q365" i="15"/>
  <c r="S365" i="15"/>
  <c r="T364" i="15"/>
  <c r="M364" i="15"/>
  <c r="L364" i="15"/>
  <c r="U364" i="15"/>
  <c r="J367" i="15" l="1"/>
  <c r="I367" i="15"/>
  <c r="P366" i="15"/>
  <c r="K367" i="15"/>
  <c r="C367" i="15"/>
  <c r="E367" i="15"/>
  <c r="O366" i="15"/>
  <c r="G367" i="15"/>
  <c r="V366" i="15"/>
  <c r="B367" i="15"/>
  <c r="F367" i="15"/>
  <c r="Q366" i="15"/>
  <c r="S366" i="15"/>
  <c r="U365" i="15"/>
  <c r="M365" i="15"/>
  <c r="L365" i="15"/>
  <c r="T365" i="15"/>
  <c r="V367" i="15" l="1"/>
  <c r="F368" i="15"/>
  <c r="C368" i="15"/>
  <c r="P367" i="15"/>
  <c r="J368" i="15"/>
  <c r="G368" i="15"/>
  <c r="K368" i="15"/>
  <c r="E368" i="15"/>
  <c r="I368" i="15"/>
  <c r="O367" i="15"/>
  <c r="B368" i="15"/>
  <c r="Q367" i="15"/>
  <c r="S367" i="15"/>
  <c r="T366" i="15"/>
  <c r="U366" i="15"/>
  <c r="M366" i="15"/>
  <c r="L366" i="15"/>
  <c r="O368" i="15" l="1"/>
  <c r="F369" i="15"/>
  <c r="G369" i="15"/>
  <c r="P368" i="15"/>
  <c r="E369" i="15"/>
  <c r="B369" i="15"/>
  <c r="V368" i="15"/>
  <c r="C369" i="15"/>
  <c r="K369" i="15"/>
  <c r="J369" i="15"/>
  <c r="I369" i="15"/>
  <c r="Q368" i="15"/>
  <c r="S368" i="15"/>
  <c r="U367" i="15"/>
  <c r="L367" i="15"/>
  <c r="T367" i="15"/>
  <c r="M367" i="15"/>
  <c r="V369" i="15" l="1"/>
  <c r="O369" i="15"/>
  <c r="P369" i="15"/>
  <c r="Q369" i="15"/>
  <c r="S369" i="15"/>
  <c r="L368" i="15"/>
  <c r="U368" i="15"/>
  <c r="M368" i="15"/>
  <c r="T368" i="15"/>
  <c r="U369" i="15" l="1"/>
  <c r="M369" i="15"/>
  <c r="T369" i="15"/>
  <c r="L36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Qredits</author>
  </authors>
  <commentList>
    <comment ref="B21" authorId="0" shapeId="0" xr:uid="{00000000-0006-0000-0000-000001000000}">
      <text>
        <r>
          <rPr>
            <b/>
            <sz val="8"/>
            <color indexed="81"/>
            <rFont val="Tahoma"/>
            <family val="2"/>
          </rPr>
          <t>TIP</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Qredits</author>
  </authors>
  <commentList>
    <comment ref="C5" authorId="0" shapeId="0" xr:uid="{00000000-0006-0000-0200-000001000000}">
      <text>
        <r>
          <rPr>
            <b/>
            <sz val="8"/>
            <color indexed="81"/>
            <rFont val="Tahoma"/>
            <family val="2"/>
          </rPr>
          <t>De activa</t>
        </r>
        <r>
          <rPr>
            <sz val="8"/>
            <color indexed="81"/>
            <rFont val="Tahoma"/>
            <family val="2"/>
          </rPr>
          <t xml:space="preserve"> is het geheel aan bezittingen van een onderneming aan te duiden. Binnen de term activa maakt men onderscheid tussen vaste activa en vlottende activa. In de balans staat zij tegenover de passiva van een onderneming.</t>
        </r>
      </text>
    </comment>
    <comment ref="G5" authorId="0" shapeId="0" xr:uid="{00000000-0006-0000-0200-000002000000}">
      <text>
        <r>
          <rPr>
            <b/>
            <sz val="8"/>
            <color indexed="81"/>
            <rFont val="Tahoma"/>
            <family val="2"/>
          </rPr>
          <t>Passiva</t>
        </r>
        <r>
          <rPr>
            <sz val="8"/>
            <color indexed="81"/>
            <rFont val="Tahoma"/>
            <family val="2"/>
          </rPr>
          <t xml:space="preserve"> zijn de bronnen waarmee de onderneming gefinancierd is, zodus het geld dat in de onderneming gestoken is.
Passiva vormen de credit-zijde (rechterzijde) van de balans. De activa vormen de debetzijde van de balans. De passiva worden gebruikt om de activa te financieren. Daarom zijn de passiva even hoog als de activa.</t>
        </r>
      </text>
    </comment>
    <comment ref="C7" authorId="0" shapeId="0" xr:uid="{00000000-0006-0000-0200-000003000000}">
      <text>
        <r>
          <rPr>
            <sz val="8"/>
            <color indexed="81"/>
            <rFont val="Tahoma"/>
            <family val="2"/>
          </rPr>
          <t xml:space="preserve">Onder </t>
        </r>
        <r>
          <rPr>
            <b/>
            <sz val="8"/>
            <color indexed="81"/>
            <rFont val="Tahoma"/>
            <family val="2"/>
          </rPr>
          <t>vaste activa</t>
        </r>
        <r>
          <rPr>
            <sz val="8"/>
            <color indexed="81"/>
            <rFont val="Tahoma"/>
            <family val="2"/>
          </rPr>
          <t xml:space="preserve"> wordt verstaan de bezittingen van een bedrijf waarvan het daarvoor benodigde vermogen voor een periode langer dan een jaar is vastgelegd. Het zijn de bezittingen die een bedrijf gebruikt voor de bedrijfsvoering, niet om te verkopen.</t>
        </r>
      </text>
    </comment>
    <comment ref="C17" authorId="0" shapeId="0" xr:uid="{00000000-0006-0000-0200-000004000000}">
      <text>
        <r>
          <rPr>
            <b/>
            <sz val="8"/>
            <color indexed="81"/>
            <rFont val="Tahoma"/>
            <family val="2"/>
          </rPr>
          <t xml:space="preserve">Vlottende activa </t>
        </r>
        <r>
          <rPr>
            <sz val="8"/>
            <color indexed="81"/>
            <rFont val="Tahoma"/>
            <family val="2"/>
          </rPr>
          <t>zijn die bezittingen van een persoon, bedrijf of organisatie waarin het vermogen voor een periode korter dan een jaar is vastgelegd. Binnen een jaar dus moet een vlottend activa omgezet zijn / om te zetten zijn in geld.</t>
        </r>
      </text>
    </comment>
    <comment ref="H17" authorId="0" shapeId="0" xr:uid="{00000000-0006-0000-0200-000005000000}">
      <text>
        <r>
          <rPr>
            <sz val="8"/>
            <color indexed="81"/>
            <rFont val="Tahoma"/>
            <family val="2"/>
          </rPr>
          <t>* Specificeer het vreemd vermogen dat is ingevuld bij overig. (Let op dat de activa en passiva in balans blijven!)</t>
        </r>
      </text>
    </comment>
    <comment ref="C30" authorId="0" shapeId="0" xr:uid="{00000000-0006-0000-0200-000006000000}">
      <text>
        <r>
          <rPr>
            <b/>
            <sz val="8"/>
            <color indexed="81"/>
            <rFont val="Tahoma"/>
            <family val="2"/>
          </rPr>
          <t xml:space="preserve">De balans
</t>
        </r>
        <r>
          <rPr>
            <sz val="8"/>
            <color indexed="81"/>
            <rFont val="Tahoma"/>
            <family val="2"/>
          </rPr>
          <t>Op een balans staat wat je hebt (activa, de linkerzijde van de balans), in de vorm van geld, goederen, enz., en hoe die gefinancierd zijn (passiva, de rechterzijde van de balans): met eigen vermogen of met vreemd vermogen (leningen). Dus een balans is een momentopname van bezittingen en van de manier waarop deze zijn betaald.</t>
        </r>
      </text>
    </comment>
    <comment ref="C32" authorId="0" shapeId="0" xr:uid="{00000000-0006-0000-0200-000007000000}">
      <text>
        <r>
          <rPr>
            <b/>
            <sz val="8"/>
            <color indexed="81"/>
            <rFont val="Tahoma"/>
            <family val="2"/>
          </rPr>
          <t>De activa</t>
        </r>
        <r>
          <rPr>
            <sz val="8"/>
            <color indexed="81"/>
            <rFont val="Tahoma"/>
            <family val="2"/>
          </rPr>
          <t xml:space="preserve"> is het geheel aan bezittingen van een onderneming aan te duiden. Binnen de term activa maakt men onderscheid tussen vaste activa en vlottende activa. In de balans staat zij tegenover de passiva van een onderneming.</t>
        </r>
      </text>
    </comment>
    <comment ref="G32" authorId="0" shapeId="0" xr:uid="{00000000-0006-0000-0200-000008000000}">
      <text>
        <r>
          <rPr>
            <b/>
            <sz val="8"/>
            <color indexed="81"/>
            <rFont val="Tahoma"/>
            <family val="2"/>
          </rPr>
          <t>Passiva</t>
        </r>
        <r>
          <rPr>
            <sz val="8"/>
            <color indexed="81"/>
            <rFont val="Tahoma"/>
            <family val="2"/>
          </rPr>
          <t xml:space="preserve"> zijn de bronnen waarmee de onderneming gefinancierd is, zodus het geld dat in de onderneming gestoken is.
Passiva vormen de credit-zijde (rechterzijde) van de balans. De activa vormen de debetzijde van de balans. De passiva worden gebruikt om de activa te financieren. Daarom zijn de passiva even hoog als de activa.</t>
        </r>
      </text>
    </comment>
    <comment ref="C34" authorId="0" shapeId="0" xr:uid="{00000000-0006-0000-0200-000009000000}">
      <text>
        <r>
          <rPr>
            <sz val="8"/>
            <color indexed="81"/>
            <rFont val="Tahoma"/>
            <family val="2"/>
          </rPr>
          <t xml:space="preserve">Onder </t>
        </r>
        <r>
          <rPr>
            <b/>
            <sz val="8"/>
            <color indexed="81"/>
            <rFont val="Tahoma"/>
            <family val="2"/>
          </rPr>
          <t>vaste activa</t>
        </r>
        <r>
          <rPr>
            <sz val="8"/>
            <color indexed="81"/>
            <rFont val="Tahoma"/>
            <family val="2"/>
          </rPr>
          <t xml:space="preserve"> wordt verstaan de bezittingen van een bedrijf waarvan het daarvoor benodigde vermogen voor een periode langer dan een jaar is vastgelegd. Het zijn de bezittingen die een bedrijf gebruikt voor de bedrijfsvoering, niet om te verkopen.</t>
        </r>
      </text>
    </comment>
    <comment ref="C44" authorId="0" shapeId="0" xr:uid="{00000000-0006-0000-0200-00000A000000}">
      <text>
        <r>
          <rPr>
            <b/>
            <sz val="8"/>
            <color indexed="81"/>
            <rFont val="Tahoma"/>
            <family val="2"/>
          </rPr>
          <t xml:space="preserve">Vlottende activa </t>
        </r>
        <r>
          <rPr>
            <sz val="8"/>
            <color indexed="81"/>
            <rFont val="Tahoma"/>
            <family val="2"/>
          </rPr>
          <t>zijn die bezittingen van een persoon, bedrijf of organisatie waarin het vermogen voor een periode korter dan een jaar is vastgelegd. Binnen een jaar dus moet een vlottend activa omgezet zijn / om te zetten zijn in geld.</t>
        </r>
      </text>
    </comment>
    <comment ref="C48" authorId="0" shapeId="0" xr:uid="{00000000-0006-0000-0200-00000B000000}">
      <text>
        <r>
          <rPr>
            <sz val="8"/>
            <color indexed="81"/>
            <rFont val="Tahoma"/>
            <family val="2"/>
          </rPr>
          <t>Uw kas, bank, giro kan hoger uitvallen dan in uw investeringsbegroting doordat u bij 'lening Qredits' een bedrag voor afronding/overig heeft opgegeven.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Andreas Wassink</author>
    <author>Valued Acer Customer</author>
  </authors>
  <commentList>
    <comment ref="E5" authorId="0" shapeId="0" xr:uid="{00000000-0006-0000-0400-000001000000}">
      <text>
        <r>
          <rPr>
            <sz val="9"/>
            <color indexed="81"/>
            <rFont val="Tahoma"/>
            <family val="2"/>
          </rPr>
          <t>Wanneer betalen uw klanten? Geldt dit voor iedereen, of zijn er klanten die eerder of later betalen?</t>
        </r>
      </text>
    </comment>
    <comment ref="J5" authorId="0" shapeId="0" xr:uid="{00000000-0006-0000-0400-000002000000}">
      <text>
        <r>
          <rPr>
            <b/>
            <sz val="9"/>
            <color indexed="81"/>
            <rFont val="Tahoma"/>
            <family val="2"/>
          </rPr>
          <t xml:space="preserve">Qredits: </t>
        </r>
        <r>
          <rPr>
            <sz val="9"/>
            <color indexed="81"/>
            <rFont val="Tahoma"/>
            <family val="2"/>
          </rPr>
          <t>Kies hier het BTW tarief.</t>
        </r>
      </text>
    </comment>
    <comment ref="F11" authorId="1" shapeId="0" xr:uid="{00000000-0006-0000-0400-000003000000}">
      <text>
        <r>
          <rPr>
            <b/>
            <sz val="8"/>
            <color indexed="81"/>
            <rFont val="Tahoma"/>
            <family val="2"/>
          </rPr>
          <t>Totale ontvangst + verlies op debiteuren moet 100% zijn.</t>
        </r>
        <r>
          <rPr>
            <sz val="8"/>
            <color indexed="81"/>
            <rFont val="Tahoma"/>
            <family val="2"/>
          </rPr>
          <t xml:space="preserve">
</t>
        </r>
      </text>
    </comment>
    <comment ref="C14" authorId="0" shapeId="0" xr:uid="{00000000-0006-0000-0400-000004000000}">
      <text>
        <r>
          <rPr>
            <sz val="9"/>
            <color indexed="81"/>
            <rFont val="Tahoma"/>
            <family val="2"/>
          </rPr>
          <t>In welke maand gaan de eerste facturen de deur uit?</t>
        </r>
      </text>
    </comment>
    <comment ref="C15" authorId="1" shapeId="0" xr:uid="{00000000-0006-0000-0400-000005000000}">
      <text>
        <r>
          <rPr>
            <b/>
            <sz val="8"/>
            <color indexed="81"/>
            <rFont val="Tahoma"/>
            <family val="2"/>
          </rPr>
          <t>Geen product of uurtarief? Vul dan een 1 in en geef bij de prijs de omzetverwachting per maand.</t>
        </r>
        <r>
          <rPr>
            <sz val="8"/>
            <color indexed="81"/>
            <rFont val="Tahoma"/>
            <family val="2"/>
          </rPr>
          <t xml:space="preserve">
</t>
        </r>
      </text>
    </comment>
    <comment ref="C16" authorId="1" shapeId="0" xr:uid="{00000000-0006-0000-0400-000006000000}">
      <text>
        <r>
          <rPr>
            <b/>
            <sz val="8"/>
            <color indexed="81"/>
            <rFont val="Tahoma"/>
            <family val="2"/>
          </rPr>
          <t>Exclusief BTW</t>
        </r>
        <r>
          <rPr>
            <sz val="8"/>
            <color indexed="81"/>
            <rFont val="Tahoma"/>
            <family val="2"/>
          </rPr>
          <t xml:space="preserve">
</t>
        </r>
      </text>
    </comment>
    <comment ref="C44" authorId="0" shapeId="0" xr:uid="{00000000-0006-0000-0400-000007000000}">
      <text>
        <r>
          <rPr>
            <sz val="9"/>
            <color indexed="81"/>
            <rFont val="Tahoma"/>
            <family val="2"/>
          </rPr>
          <t>In welke maand gaan de eerste facturen de deur uit?</t>
        </r>
      </text>
    </comment>
    <comment ref="C45" authorId="1" shapeId="0" xr:uid="{00000000-0006-0000-0400-000008000000}">
      <text>
        <r>
          <rPr>
            <b/>
            <sz val="8"/>
            <color indexed="81"/>
            <rFont val="Tahoma"/>
            <family val="2"/>
          </rPr>
          <t>Geen product of uurtarief? Vul dan een 1 in en geef bij de prijs de omzetverwachting per maand.</t>
        </r>
        <r>
          <rPr>
            <sz val="8"/>
            <color indexed="81"/>
            <rFont val="Tahoma"/>
            <family val="2"/>
          </rPr>
          <t xml:space="preserve">
</t>
        </r>
      </text>
    </comment>
    <comment ref="C46" authorId="1" shapeId="0" xr:uid="{00000000-0006-0000-0400-000009000000}">
      <text>
        <r>
          <rPr>
            <b/>
            <sz val="8"/>
            <color indexed="81"/>
            <rFont val="Tahoma"/>
            <family val="2"/>
          </rPr>
          <t>Exclusief BTW</t>
        </r>
        <r>
          <rPr>
            <sz val="8"/>
            <color indexed="81"/>
            <rFont val="Tahoma"/>
            <family val="2"/>
          </rPr>
          <t xml:space="preserve">
</t>
        </r>
      </text>
    </comment>
    <comment ref="C74" authorId="0" shapeId="0" xr:uid="{00000000-0006-0000-0400-00000A000000}">
      <text>
        <r>
          <rPr>
            <sz val="9"/>
            <color indexed="81"/>
            <rFont val="Tahoma"/>
            <family val="2"/>
          </rPr>
          <t>In welke maand gaan de eerste facturen de deur uit?</t>
        </r>
      </text>
    </comment>
    <comment ref="C75" authorId="1" shapeId="0" xr:uid="{00000000-0006-0000-0400-00000B000000}">
      <text>
        <r>
          <rPr>
            <b/>
            <sz val="8"/>
            <color indexed="81"/>
            <rFont val="Tahoma"/>
            <family val="2"/>
          </rPr>
          <t>Geen product of uurtarief? Vul dan een 1 in en geef bij de prijs de omzetverwachting per maand.</t>
        </r>
        <r>
          <rPr>
            <sz val="8"/>
            <color indexed="81"/>
            <rFont val="Tahoma"/>
            <family val="2"/>
          </rPr>
          <t xml:space="preserve">
</t>
        </r>
      </text>
    </comment>
    <comment ref="C76" authorId="1" shapeId="0" xr:uid="{00000000-0006-0000-0400-00000C000000}">
      <text>
        <r>
          <rPr>
            <b/>
            <sz val="8"/>
            <color indexed="81"/>
            <rFont val="Tahoma"/>
            <family val="2"/>
          </rPr>
          <t>Exclusief BTW</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Andreas Wassink</author>
    <author>Valued Acer Customer</author>
  </authors>
  <commentList>
    <comment ref="E5" authorId="0" shapeId="0" xr:uid="{00000000-0006-0000-0500-000001000000}">
      <text>
        <r>
          <rPr>
            <b/>
            <sz val="9"/>
            <color indexed="81"/>
            <rFont val="Tahoma"/>
            <family val="2"/>
          </rPr>
          <t>Qredits:</t>
        </r>
        <r>
          <rPr>
            <sz val="9"/>
            <color indexed="81"/>
            <rFont val="Tahoma"/>
            <family val="2"/>
          </rPr>
          <t xml:space="preserve">
Wijzigen indien van toepassing.</t>
        </r>
      </text>
    </comment>
    <comment ref="J5" authorId="0" shapeId="0" xr:uid="{00000000-0006-0000-0500-000002000000}">
      <text>
        <r>
          <rPr>
            <b/>
            <sz val="9"/>
            <color indexed="81"/>
            <rFont val="Tahoma"/>
            <family val="2"/>
          </rPr>
          <t xml:space="preserve">Qredits: </t>
        </r>
        <r>
          <rPr>
            <sz val="9"/>
            <color indexed="81"/>
            <rFont val="Tahoma"/>
            <family val="2"/>
          </rPr>
          <t>Kies hier het BTW tarief.</t>
        </r>
      </text>
    </comment>
    <comment ref="F10" authorId="1" shapeId="0" xr:uid="{00000000-0006-0000-0500-000003000000}">
      <text>
        <r>
          <rPr>
            <b/>
            <sz val="8"/>
            <color indexed="81"/>
            <rFont val="Tahoma"/>
            <family val="2"/>
          </rPr>
          <t>Totale betalingen moet 100% zijn.</t>
        </r>
        <r>
          <rPr>
            <sz val="8"/>
            <color indexed="81"/>
            <rFont val="Tahoma"/>
            <family val="2"/>
          </rPr>
          <t xml:space="preserve">
</t>
        </r>
      </text>
    </comment>
    <comment ref="C15" authorId="1" shapeId="0" xr:uid="{00000000-0006-0000-0500-000004000000}">
      <text>
        <r>
          <rPr>
            <b/>
            <sz val="8"/>
            <color indexed="81"/>
            <rFont val="Tahoma"/>
            <family val="2"/>
          </rPr>
          <t>Exclusief BTW</t>
        </r>
        <r>
          <rPr>
            <sz val="8"/>
            <color indexed="81"/>
            <rFont val="Tahoma"/>
            <family val="2"/>
          </rPr>
          <t xml:space="preserve">
</t>
        </r>
      </text>
    </comment>
    <comment ref="Q15" authorId="0" shapeId="0" xr:uid="{00000000-0006-0000-0500-000005000000}">
      <text>
        <r>
          <rPr>
            <b/>
            <sz val="9"/>
            <color indexed="81"/>
            <rFont val="Tahoma"/>
            <family val="2"/>
          </rPr>
          <t>Qredits:</t>
        </r>
        <r>
          <rPr>
            <sz val="9"/>
            <color indexed="81"/>
            <rFont val="Tahoma"/>
            <family val="2"/>
          </rPr>
          <t xml:space="preserve">
Gemiddelde inkoopprijs.</t>
        </r>
      </text>
    </comment>
    <comment ref="D16" authorId="1" shapeId="0" xr:uid="{00000000-0006-0000-0500-000006000000}">
      <text>
        <r>
          <rPr>
            <b/>
            <sz val="10"/>
            <color indexed="81"/>
            <rFont val="Tahoma"/>
            <family val="2"/>
          </rPr>
          <t xml:space="preserve">Qredits: </t>
        </r>
        <r>
          <rPr>
            <sz val="10"/>
            <color indexed="81"/>
            <rFont val="Tahoma"/>
            <family val="2"/>
          </rPr>
          <t>Kies hier het BTW tarief.</t>
        </r>
      </text>
    </comment>
    <comment ref="C20" authorId="1" shapeId="0" xr:uid="{00000000-0006-0000-0500-000007000000}">
      <text>
        <r>
          <rPr>
            <b/>
            <sz val="8"/>
            <color indexed="81"/>
            <rFont val="Tahoma"/>
            <family val="2"/>
          </rPr>
          <t>Exclusief BTW</t>
        </r>
        <r>
          <rPr>
            <sz val="8"/>
            <color indexed="81"/>
            <rFont val="Tahoma"/>
            <family val="2"/>
          </rPr>
          <t xml:space="preserve">
</t>
        </r>
      </text>
    </comment>
    <comment ref="Q20" authorId="0" shapeId="0" xr:uid="{00000000-0006-0000-0500-000008000000}">
      <text>
        <r>
          <rPr>
            <b/>
            <sz val="9"/>
            <color indexed="81"/>
            <rFont val="Tahoma"/>
            <family val="2"/>
          </rPr>
          <t>Qredits:</t>
        </r>
        <r>
          <rPr>
            <sz val="9"/>
            <color indexed="81"/>
            <rFont val="Tahoma"/>
            <family val="2"/>
          </rPr>
          <t xml:space="preserve">
Gemiddelde inkoopprijs.</t>
        </r>
      </text>
    </comment>
    <comment ref="D21" authorId="1" shapeId="0" xr:uid="{00000000-0006-0000-0500-000009000000}">
      <text>
        <r>
          <rPr>
            <b/>
            <sz val="10"/>
            <color indexed="81"/>
            <rFont val="Tahoma"/>
            <family val="2"/>
          </rPr>
          <t xml:space="preserve">Qredits: </t>
        </r>
        <r>
          <rPr>
            <sz val="10"/>
            <color indexed="81"/>
            <rFont val="Tahoma"/>
            <family val="2"/>
          </rPr>
          <t>Kies hier het BTW tarief.</t>
        </r>
      </text>
    </comment>
    <comment ref="C25" authorId="1" shapeId="0" xr:uid="{00000000-0006-0000-0500-00000A000000}">
      <text>
        <r>
          <rPr>
            <b/>
            <sz val="8"/>
            <color indexed="81"/>
            <rFont val="Tahoma"/>
            <family val="2"/>
          </rPr>
          <t>Exclusief BTW</t>
        </r>
        <r>
          <rPr>
            <sz val="8"/>
            <color indexed="81"/>
            <rFont val="Tahoma"/>
            <family val="2"/>
          </rPr>
          <t xml:space="preserve">
</t>
        </r>
      </text>
    </comment>
    <comment ref="Q25" authorId="0" shapeId="0" xr:uid="{00000000-0006-0000-0500-00000B000000}">
      <text>
        <r>
          <rPr>
            <b/>
            <sz val="9"/>
            <color indexed="81"/>
            <rFont val="Tahoma"/>
            <family val="2"/>
          </rPr>
          <t>Qredits:</t>
        </r>
        <r>
          <rPr>
            <sz val="9"/>
            <color indexed="81"/>
            <rFont val="Tahoma"/>
            <family val="2"/>
          </rPr>
          <t xml:space="preserve">
Gemiddelde inkoopprijs.</t>
        </r>
      </text>
    </comment>
    <comment ref="D26" authorId="1" shapeId="0" xr:uid="{00000000-0006-0000-0500-00000C000000}">
      <text>
        <r>
          <rPr>
            <b/>
            <sz val="10"/>
            <color indexed="81"/>
            <rFont val="Tahoma"/>
            <family val="2"/>
          </rPr>
          <t xml:space="preserve">Qredits: </t>
        </r>
        <r>
          <rPr>
            <sz val="10"/>
            <color indexed="81"/>
            <rFont val="Tahoma"/>
            <family val="2"/>
          </rPr>
          <t>Kies hier het BTW tarief.</t>
        </r>
      </text>
    </comment>
    <comment ref="C50" authorId="1" shapeId="0" xr:uid="{00000000-0006-0000-0500-00000D000000}">
      <text>
        <r>
          <rPr>
            <b/>
            <sz val="8"/>
            <color indexed="81"/>
            <rFont val="Tahoma"/>
            <family val="2"/>
          </rPr>
          <t>Exclusief BTW</t>
        </r>
        <r>
          <rPr>
            <sz val="8"/>
            <color indexed="81"/>
            <rFont val="Tahoma"/>
            <family val="2"/>
          </rPr>
          <t xml:space="preserve">
</t>
        </r>
      </text>
    </comment>
    <comment ref="C51" authorId="1" shapeId="0" xr:uid="{00000000-0006-0000-0500-00000E000000}">
      <text>
        <r>
          <rPr>
            <b/>
            <sz val="10"/>
            <color indexed="81"/>
            <rFont val="Tahoma"/>
            <family val="2"/>
          </rPr>
          <t xml:space="preserve">Qredits: </t>
        </r>
        <r>
          <rPr>
            <sz val="10"/>
            <color indexed="81"/>
            <rFont val="Tahoma"/>
            <family val="2"/>
          </rPr>
          <t>Kies hier het BTW tarief.</t>
        </r>
      </text>
    </comment>
    <comment ref="C55" authorId="1" shapeId="0" xr:uid="{00000000-0006-0000-0500-00000F000000}">
      <text>
        <r>
          <rPr>
            <b/>
            <sz val="8"/>
            <color indexed="81"/>
            <rFont val="Tahoma"/>
            <family val="2"/>
          </rPr>
          <t>Exclusief BTW</t>
        </r>
        <r>
          <rPr>
            <sz val="8"/>
            <color indexed="81"/>
            <rFont val="Tahoma"/>
            <family val="2"/>
          </rPr>
          <t xml:space="preserve">
</t>
        </r>
      </text>
    </comment>
    <comment ref="C56" authorId="1" shapeId="0" xr:uid="{00000000-0006-0000-0500-000010000000}">
      <text>
        <r>
          <rPr>
            <b/>
            <sz val="10"/>
            <color indexed="81"/>
            <rFont val="Tahoma"/>
            <family val="2"/>
          </rPr>
          <t xml:space="preserve">Qredits: </t>
        </r>
        <r>
          <rPr>
            <sz val="10"/>
            <color indexed="81"/>
            <rFont val="Tahoma"/>
            <family val="2"/>
          </rPr>
          <t>Kies hier het BTW tarief.</t>
        </r>
      </text>
    </comment>
    <comment ref="C60" authorId="1" shapeId="0" xr:uid="{00000000-0006-0000-0500-000011000000}">
      <text>
        <r>
          <rPr>
            <b/>
            <sz val="8"/>
            <color indexed="81"/>
            <rFont val="Tahoma"/>
            <family val="2"/>
          </rPr>
          <t>Exclusief BTW</t>
        </r>
        <r>
          <rPr>
            <sz val="8"/>
            <color indexed="81"/>
            <rFont val="Tahoma"/>
            <family val="2"/>
          </rPr>
          <t xml:space="preserve">
</t>
        </r>
      </text>
    </comment>
    <comment ref="C61" authorId="1" shapeId="0" xr:uid="{00000000-0006-0000-0500-000012000000}">
      <text>
        <r>
          <rPr>
            <b/>
            <sz val="10"/>
            <color indexed="81"/>
            <rFont val="Tahoma"/>
            <family val="2"/>
          </rPr>
          <t xml:space="preserve">Qredits: </t>
        </r>
        <r>
          <rPr>
            <sz val="10"/>
            <color indexed="81"/>
            <rFont val="Tahoma"/>
            <family val="2"/>
          </rPr>
          <t>Kies hier het BTW tarief.</t>
        </r>
      </text>
    </comment>
    <comment ref="C85" authorId="1" shapeId="0" xr:uid="{00000000-0006-0000-0500-000013000000}">
      <text>
        <r>
          <rPr>
            <b/>
            <sz val="8"/>
            <color indexed="81"/>
            <rFont val="Tahoma"/>
            <family val="2"/>
          </rPr>
          <t>Exclusief BTW</t>
        </r>
        <r>
          <rPr>
            <sz val="8"/>
            <color indexed="81"/>
            <rFont val="Tahoma"/>
            <family val="2"/>
          </rPr>
          <t xml:space="preserve">
</t>
        </r>
      </text>
    </comment>
    <comment ref="C86" authorId="1" shapeId="0" xr:uid="{00000000-0006-0000-0500-000014000000}">
      <text>
        <r>
          <rPr>
            <b/>
            <sz val="10"/>
            <color indexed="81"/>
            <rFont val="Tahoma"/>
            <family val="2"/>
          </rPr>
          <t xml:space="preserve">Qredits: </t>
        </r>
        <r>
          <rPr>
            <sz val="10"/>
            <color indexed="81"/>
            <rFont val="Tahoma"/>
            <family val="2"/>
          </rPr>
          <t>Kies hier het BTW tarief.</t>
        </r>
      </text>
    </comment>
    <comment ref="C90" authorId="1" shapeId="0" xr:uid="{00000000-0006-0000-0500-000015000000}">
      <text>
        <r>
          <rPr>
            <b/>
            <sz val="8"/>
            <color indexed="81"/>
            <rFont val="Tahoma"/>
            <family val="2"/>
          </rPr>
          <t>Exclusief BTW</t>
        </r>
        <r>
          <rPr>
            <sz val="8"/>
            <color indexed="81"/>
            <rFont val="Tahoma"/>
            <family val="2"/>
          </rPr>
          <t xml:space="preserve">
</t>
        </r>
      </text>
    </comment>
    <comment ref="C91" authorId="1" shapeId="0" xr:uid="{00000000-0006-0000-0500-000016000000}">
      <text>
        <r>
          <rPr>
            <b/>
            <sz val="10"/>
            <color indexed="81"/>
            <rFont val="Tahoma"/>
            <family val="2"/>
          </rPr>
          <t xml:space="preserve">Qredits: </t>
        </r>
        <r>
          <rPr>
            <sz val="10"/>
            <color indexed="81"/>
            <rFont val="Tahoma"/>
            <family val="2"/>
          </rPr>
          <t>Kies hier het BTW tarief.</t>
        </r>
      </text>
    </comment>
    <comment ref="C95" authorId="1" shapeId="0" xr:uid="{00000000-0006-0000-0500-000017000000}">
      <text>
        <r>
          <rPr>
            <b/>
            <sz val="8"/>
            <color indexed="81"/>
            <rFont val="Tahoma"/>
            <family val="2"/>
          </rPr>
          <t>Exclusief BTW</t>
        </r>
        <r>
          <rPr>
            <sz val="8"/>
            <color indexed="81"/>
            <rFont val="Tahoma"/>
            <family val="2"/>
          </rPr>
          <t xml:space="preserve">
</t>
        </r>
      </text>
    </comment>
    <comment ref="C96" authorId="1" shapeId="0" xr:uid="{00000000-0006-0000-0500-000018000000}">
      <text>
        <r>
          <rPr>
            <b/>
            <sz val="10"/>
            <color indexed="81"/>
            <rFont val="Tahoma"/>
            <family val="2"/>
          </rPr>
          <t xml:space="preserve">Qredits: </t>
        </r>
        <r>
          <rPr>
            <sz val="10"/>
            <color indexed="81"/>
            <rFont val="Tahoma"/>
            <family val="2"/>
          </rPr>
          <t>Kies hier het BTW tarief.</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Andreas Wassink</author>
    <author>Valued Acer Customer</author>
    <author>Qredits</author>
  </authors>
  <commentList>
    <comment ref="E5" authorId="0" shapeId="0" xr:uid="{00000000-0006-0000-0600-000001000000}">
      <text>
        <r>
          <rPr>
            <b/>
            <sz val="9"/>
            <color indexed="81"/>
            <rFont val="Tahoma"/>
            <family val="2"/>
          </rPr>
          <t xml:space="preserve">Qredits: </t>
        </r>
        <r>
          <rPr>
            <sz val="9"/>
            <color indexed="81"/>
            <rFont val="Tahoma"/>
            <family val="2"/>
          </rPr>
          <t>Kies hier het BTW tarief.</t>
        </r>
      </text>
    </comment>
    <comment ref="C23" authorId="1" shapeId="0" xr:uid="{00000000-0006-0000-0600-000002000000}">
      <text>
        <r>
          <rPr>
            <b/>
            <sz val="8"/>
            <color indexed="81"/>
            <rFont val="Tahoma"/>
            <family val="2"/>
          </rPr>
          <t>Invullen exclusief BTW. BTW wordt berekend.</t>
        </r>
        <r>
          <rPr>
            <sz val="8"/>
            <color indexed="81"/>
            <rFont val="Tahoma"/>
            <family val="2"/>
          </rPr>
          <t xml:space="preserve">
</t>
        </r>
      </text>
    </comment>
    <comment ref="C28" authorId="2" shapeId="0" xr:uid="{00000000-0006-0000-0600-000003000000}">
      <text>
        <r>
          <rPr>
            <b/>
            <sz val="8"/>
            <color indexed="81"/>
            <rFont val="Tahoma"/>
            <family val="2"/>
          </rPr>
          <t>Personeelskosten (geen ondernemersloon!) berekenen</t>
        </r>
        <r>
          <rPr>
            <sz val="8"/>
            <color indexed="81"/>
            <rFont val="Tahoma"/>
            <family val="2"/>
          </rPr>
          <t xml:space="preserve">
Personeelskosten liggen ongeveer 30% hoger dan het brutoloon. Naast directe kosten zijn er ook indirecte kosten, zoals pensioen en reiskostenvergoeding en premies.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Andreas Wassink</author>
  </authors>
  <commentList>
    <comment ref="C4" authorId="0" shapeId="0" xr:uid="{00000000-0006-0000-0800-000001000000}">
      <text>
        <r>
          <rPr>
            <b/>
            <sz val="9"/>
            <color indexed="81"/>
            <rFont val="Tahoma"/>
            <family val="2"/>
          </rPr>
          <t>Qredits:</t>
        </r>
        <r>
          <rPr>
            <sz val="9"/>
            <color indexed="81"/>
            <rFont val="Tahoma"/>
            <family val="2"/>
          </rPr>
          <t xml:space="preserve">
U kunt de hoogte en looptijd van de lening wijzigen in het tabblad Investering &amp; Financiering.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Valued Acer Customer</author>
  </authors>
  <commentList>
    <comment ref="B26" authorId="0" shapeId="0" xr:uid="{00000000-0006-0000-0C00-000001000000}">
      <text>
        <r>
          <rPr>
            <b/>
            <sz val="8"/>
            <color indexed="81"/>
            <rFont val="Tahoma"/>
            <family val="2"/>
          </rPr>
          <t>Kies hier het BTW tarief</t>
        </r>
        <r>
          <rPr>
            <sz val="8"/>
            <color indexed="81"/>
            <rFont val="Tahoma"/>
            <family val="2"/>
          </rPr>
          <t xml:space="preserve">
</t>
        </r>
      </text>
    </comment>
    <comment ref="B27" authorId="0" shapeId="0" xr:uid="{00000000-0006-0000-0C00-000002000000}">
      <text>
        <r>
          <rPr>
            <b/>
            <sz val="8"/>
            <color indexed="81"/>
            <rFont val="Tahoma"/>
            <family val="2"/>
          </rPr>
          <t>Kies hier het BTW tarief</t>
        </r>
        <r>
          <rPr>
            <sz val="8"/>
            <color indexed="81"/>
            <rFont val="Tahoma"/>
            <family val="2"/>
          </rPr>
          <t xml:space="preserve">
</t>
        </r>
      </text>
    </comment>
    <comment ref="B28" authorId="0" shapeId="0" xr:uid="{00000000-0006-0000-0C00-000003000000}">
      <text>
        <r>
          <rPr>
            <b/>
            <sz val="8"/>
            <color indexed="81"/>
            <rFont val="Tahoma"/>
            <family val="2"/>
          </rPr>
          <t>Kies hier het BTW tarief</t>
        </r>
        <r>
          <rPr>
            <sz val="8"/>
            <color indexed="81"/>
            <rFont val="Tahoma"/>
            <family val="2"/>
          </rPr>
          <t xml:space="preserve">
</t>
        </r>
      </text>
    </comment>
    <comment ref="B29" authorId="0" shapeId="0" xr:uid="{00000000-0006-0000-0C00-000004000000}">
      <text>
        <r>
          <rPr>
            <b/>
            <sz val="8"/>
            <color indexed="81"/>
            <rFont val="Tahoma"/>
            <family val="2"/>
          </rPr>
          <t>Kies hier het BTW tarief</t>
        </r>
        <r>
          <rPr>
            <sz val="8"/>
            <color indexed="81"/>
            <rFont val="Tahoma"/>
            <family val="2"/>
          </rPr>
          <t xml:space="preserve">
</t>
        </r>
      </text>
    </comment>
  </commentList>
</comments>
</file>

<file path=xl/sharedStrings.xml><?xml version="1.0" encoding="utf-8"?>
<sst xmlns="http://schemas.openxmlformats.org/spreadsheetml/2006/main" count="1975" uniqueCount="508">
  <si>
    <t>Verkoopprognose</t>
  </si>
  <si>
    <t>Verkoop</t>
  </si>
  <si>
    <t>Totaal</t>
  </si>
  <si>
    <t>Na een maand</t>
  </si>
  <si>
    <t>Na twee maanden</t>
  </si>
  <si>
    <t>Inkoopprognose</t>
  </si>
  <si>
    <t>Inkoop</t>
  </si>
  <si>
    <t>Vaste activa</t>
  </si>
  <si>
    <t>Inventaris en inrichting</t>
  </si>
  <si>
    <t>Computer en software</t>
  </si>
  <si>
    <t>Transportmiddel</t>
  </si>
  <si>
    <t>Totale vaste activa</t>
  </si>
  <si>
    <t>Vlottende activa</t>
  </si>
  <si>
    <t>Debiteuren</t>
  </si>
  <si>
    <t>Kas, bank, giro</t>
  </si>
  <si>
    <t>Eigen Vermogen</t>
  </si>
  <si>
    <t>Totaal Eigen Vermogen</t>
  </si>
  <si>
    <t>Zekerheden</t>
  </si>
  <si>
    <t>Waarde</t>
  </si>
  <si>
    <t xml:space="preserve">Verbouwing indien pand in bezit is </t>
  </si>
  <si>
    <t>Activa</t>
  </si>
  <si>
    <t xml:space="preserve">Passiva </t>
  </si>
  <si>
    <t xml:space="preserve">            Eigen Vermogen</t>
  </si>
  <si>
    <t>Vreemd vermogen</t>
  </si>
  <si>
    <t>Totale vlottende activa</t>
  </si>
  <si>
    <t>Totaal kort vreemd vermogen</t>
  </si>
  <si>
    <t>Totale activa</t>
  </si>
  <si>
    <t>Totale passiva</t>
  </si>
  <si>
    <t>Afschrijvingen</t>
  </si>
  <si>
    <t>Afschrijvingskosten</t>
  </si>
  <si>
    <t>Opening kas/bank</t>
  </si>
  <si>
    <t>Ontvangsten</t>
  </si>
  <si>
    <t xml:space="preserve"> Eigen Inbreng in contant</t>
  </si>
  <si>
    <t xml:space="preserve"> Achtergesteld vermogen</t>
  </si>
  <si>
    <t xml:space="preserve"> BTW</t>
  </si>
  <si>
    <t>Totale Ontvangsten</t>
  </si>
  <si>
    <t>Uitgaven</t>
  </si>
  <si>
    <t xml:space="preserve"> Personeelskosten</t>
  </si>
  <si>
    <t xml:space="preserve"> Huisvestingskosten</t>
  </si>
  <si>
    <t xml:space="preserve"> Vervoer/transportkosten</t>
  </si>
  <si>
    <t xml:space="preserve"> BTW afdracht</t>
  </si>
  <si>
    <t>Totale Uitgaven</t>
  </si>
  <si>
    <t>Eindsaldo</t>
  </si>
  <si>
    <t>Kas</t>
  </si>
  <si>
    <t xml:space="preserve"> Promotiekosten</t>
  </si>
  <si>
    <t xml:space="preserve"> Omzet ex. BTW</t>
  </si>
  <si>
    <t>Waarderingspercentage</t>
  </si>
  <si>
    <t>Zekerheid</t>
  </si>
  <si>
    <t>Lening</t>
  </si>
  <si>
    <t>Gebouwen</t>
  </si>
  <si>
    <t>Lease</t>
  </si>
  <si>
    <t>RC Bank</t>
  </si>
  <si>
    <t>Crediteuren</t>
  </si>
  <si>
    <t>Schulden aan kredietinstellingen</t>
  </si>
  <si>
    <t>Belastingen</t>
  </si>
  <si>
    <t>Maand</t>
  </si>
  <si>
    <t xml:space="preserve">Exploitatiebegroting </t>
  </si>
  <si>
    <t>Netto omzet</t>
  </si>
  <si>
    <t>Inkoopwaarde</t>
  </si>
  <si>
    <t>Bruto winst</t>
  </si>
  <si>
    <t>Brutowinstmarge</t>
  </si>
  <si>
    <t>Personeelskosten</t>
  </si>
  <si>
    <t>Totaal Bedrijfskosten</t>
  </si>
  <si>
    <t>Netto rentelasten</t>
  </si>
  <si>
    <t>Resultaat voor belasting</t>
  </si>
  <si>
    <t>Resultaat na belasting</t>
  </si>
  <si>
    <t>Mutatie Eigen Vermogen</t>
  </si>
  <si>
    <t>Belastbaar inkomen</t>
  </si>
  <si>
    <t>IB bedrag</t>
  </si>
  <si>
    <t>Privé-onttrekking</t>
  </si>
  <si>
    <t xml:space="preserve">Cash-flow overzicht  </t>
  </si>
  <si>
    <t>Netto Rentelasten</t>
  </si>
  <si>
    <t>Netto Bedrijfsresultaat</t>
  </si>
  <si>
    <t>Kasstroom operationele activiteiten</t>
  </si>
  <si>
    <t>Beschikbare kasmiddelen</t>
  </si>
  <si>
    <t>Aflossingen</t>
  </si>
  <si>
    <t>Beschikbaar voor investeringen</t>
  </si>
  <si>
    <t>IB</t>
  </si>
  <si>
    <t>Schijf</t>
  </si>
  <si>
    <t>Tarief</t>
  </si>
  <si>
    <t>Huisvestingskosten</t>
  </si>
  <si>
    <t>Vervoer/ transportkosten</t>
  </si>
  <si>
    <t>Promotiekosten</t>
  </si>
  <si>
    <t>Afschrijving per jaar</t>
  </si>
  <si>
    <t>Afschrijvingskosten per jaar</t>
  </si>
  <si>
    <t>Exploitatiebegroting</t>
  </si>
  <si>
    <t xml:space="preserve">Overige bedrijfskosten </t>
  </si>
  <si>
    <t xml:space="preserve"> Overige bedrijfskosten</t>
  </si>
  <si>
    <t>Totaal lang vreemd vermogen</t>
  </si>
  <si>
    <t xml:space="preserve">Hypotheek </t>
  </si>
  <si>
    <t>Lening Qredits</t>
  </si>
  <si>
    <t>Looptijd in maanden</t>
  </si>
  <si>
    <t>Gemiddeld te betalen bedrag per maand</t>
  </si>
  <si>
    <t>Totaal betaald gedurende de looptijd</t>
  </si>
  <si>
    <t>Totaal aflossing</t>
  </si>
  <si>
    <t>Rente % per jaar</t>
  </si>
  <si>
    <t>Totaal rente</t>
  </si>
  <si>
    <t>Maand 1e aflossing</t>
  </si>
  <si>
    <t>Bedrag lening begin maand</t>
  </si>
  <si>
    <t>Kosten rente per maand</t>
  </si>
  <si>
    <t>Aflossing per maand</t>
  </si>
  <si>
    <t>Afsluitkosten</t>
  </si>
  <si>
    <t>Te betalen per maand</t>
  </si>
  <si>
    <t>Looptijd in jaren</t>
  </si>
  <si>
    <t>Lening Qredits (indicatie)</t>
  </si>
  <si>
    <t xml:space="preserve"> Rente Qredits</t>
  </si>
  <si>
    <t xml:space="preserve"> Aflossingen Qredits</t>
  </si>
  <si>
    <t>Qredits maandlasten</t>
  </si>
  <si>
    <t xml:space="preserve">Overig </t>
  </si>
  <si>
    <t xml:space="preserve">Het maken van een financieel plan is een belangrijk onderdeel van uw ondernemingsplan, zeker als u financiering wilt aanvragen. </t>
  </si>
  <si>
    <t xml:space="preserve">    * Financieringsbegroting</t>
  </si>
  <si>
    <t xml:space="preserve">    * Exploitatiebegroting</t>
  </si>
  <si>
    <t xml:space="preserve">    * Liquiditeitsbegroting</t>
  </si>
  <si>
    <t xml:space="preserve">    * Begroting privé-uitgaven</t>
  </si>
  <si>
    <t xml:space="preserve">Een compleet financieel plan bestaat  minimaal uit onderstaande begrotingen. </t>
  </si>
  <si>
    <t xml:space="preserve">Deze begrotingen maakt u doorgaans voor de eerste twee jaar. </t>
  </si>
  <si>
    <t xml:space="preserve">    * Investeringsbegroting</t>
  </si>
  <si>
    <t xml:space="preserve">Dit financiële format helpt u met het opstellen van deze prognoses. </t>
  </si>
  <si>
    <t>Bij het opstellen van uw financiële plan kunt u het beste werken van de linker naar de rechter tab. Bedragen die u in de eerste tabs invult worden namelijk automatisch ingevuld in de overige tabbladen.</t>
  </si>
  <si>
    <t>In het financieel plan worden tips gegeven voor het invullen van het plan, u kunt deze bekijken door met uw muis op het tekstvak te gaan staan. Tips zijn beschikbaar als er een rood driehoekje verschijnt in het tekstvak.</t>
  </si>
  <si>
    <t>Uitprinten</t>
  </si>
  <si>
    <t>Tips</t>
  </si>
  <si>
    <t>Hoe in te vullen?</t>
  </si>
  <si>
    <t>Introductie</t>
  </si>
  <si>
    <t>Financieringsaanvraag</t>
  </si>
  <si>
    <t xml:space="preserve">Als u dit plan opstelt ten behoeve van een financieringsaanvraag bij Qredits, </t>
  </si>
  <si>
    <t>Inkomsten</t>
  </si>
  <si>
    <t>dan kunt u het financiële plan samen met uw ondernemingsplan* uploaden via:</t>
  </si>
  <si>
    <t>* U kunt hier tevens het bijbehorende format voor een ondernemingsplan downloaden.</t>
  </si>
  <si>
    <t xml:space="preserve">Verbouwing </t>
  </si>
  <si>
    <t>Vaste activa (excl. BTW)</t>
  </si>
  <si>
    <t>Lening bank</t>
  </si>
  <si>
    <t>Totaal vreemd vermogen</t>
  </si>
  <si>
    <t>Overig*</t>
  </si>
  <si>
    <t>* Specificeer het vreemd vermogen dat is ingevuld bij overig. (Let op dat de activa en passiva in balans blijven!)</t>
  </si>
  <si>
    <t xml:space="preserve">Disclaimer: Qredits draagt er zorg voor om de inhoud van deze module regelmatig bij te werken of toevoegingen hieraan te maken. Desalniettemin is Qredits niet aansprakelijk voor onjuistheden of onvolledigheden in de aangeboden inhoud. Qredits is op geen enkele wijze aansprakelijkheid voor schade voortvloeiend uit het gebruik van deze module. Het is de gebruiker slechts toegestaan om de module voor eigen gebruik op te slaan, af te drukken en te kopiëren.  </t>
  </si>
  <si>
    <t>Voorraad</t>
  </si>
  <si>
    <t>Openingsbalans</t>
  </si>
  <si>
    <t>Omzet Product / Dienst 1</t>
  </si>
  <si>
    <t>Aantal Product / Dienst 2</t>
  </si>
  <si>
    <t>Prijs Product / Dienst 2</t>
  </si>
  <si>
    <t>Omzet Product / Dienst 2</t>
  </si>
  <si>
    <t>Aantal Product / Dienst 3</t>
  </si>
  <si>
    <t>Prijs Product / Dienst 3</t>
  </si>
  <si>
    <t>Omzet Product / Dienst 3</t>
  </si>
  <si>
    <t>Aantal Product / Dienst 1</t>
  </si>
  <si>
    <t>Prijs Product / Dienst 1</t>
  </si>
  <si>
    <t>Afboeking dubieuze deb.</t>
  </si>
  <si>
    <t>Percentage</t>
  </si>
  <si>
    <t>Verliezen/ dubieuze debiteuren</t>
  </si>
  <si>
    <t>U kunt het gehele financiële plan in één keer uitprinten door in het scherm 'afdrukken' het vakje 'hele werkmap' te selecteren.</t>
  </si>
  <si>
    <t>Levensduur in jaren</t>
  </si>
  <si>
    <t>Goodwill</t>
  </si>
  <si>
    <t>Activa in bezit</t>
  </si>
  <si>
    <t>* Specificeren in de balans</t>
  </si>
  <si>
    <t>Indicatie op basis van de door u ingevulde investering- en financieringsbegroting</t>
  </si>
  <si>
    <t>Verbouwing</t>
  </si>
  <si>
    <t xml:space="preserve"> BTW bedrag</t>
  </si>
  <si>
    <t>Totale ontvangst</t>
  </si>
  <si>
    <t>Totaal Omzet (excl. BTW)</t>
  </si>
  <si>
    <t>BTW Bedrag</t>
  </si>
  <si>
    <t>Omzet netto</t>
  </si>
  <si>
    <t>BTW bedrag</t>
  </si>
  <si>
    <t>Na drie maanden</t>
  </si>
  <si>
    <t>Dezelfde maand</t>
  </si>
  <si>
    <t>Crediteuren worden betaald…</t>
  </si>
  <si>
    <t>Inkoopprijs Product 1</t>
  </si>
  <si>
    <t>Aantal Product 2</t>
  </si>
  <si>
    <t>Aantal Product 1</t>
  </si>
  <si>
    <t>Inkoopprijs Product 2</t>
  </si>
  <si>
    <t>Aantal Product 3</t>
  </si>
  <si>
    <t>Inkoopprijs Product 3</t>
  </si>
  <si>
    <t>Product 1</t>
  </si>
  <si>
    <t>Product 2</t>
  </si>
  <si>
    <t>Product 3</t>
  </si>
  <si>
    <t>Inkoopwaarde Omzet netto</t>
  </si>
  <si>
    <t>verkocht</t>
  </si>
  <si>
    <t>voorraadpeil</t>
  </si>
  <si>
    <t>ingekocht</t>
  </si>
  <si>
    <t>inkoopwaarde vd omzet</t>
  </si>
  <si>
    <t>eindvoorraad</t>
  </si>
  <si>
    <t>jan</t>
  </si>
  <si>
    <t>feb</t>
  </si>
  <si>
    <t>mrt</t>
  </si>
  <si>
    <t>apr</t>
  </si>
  <si>
    <t>mei</t>
  </si>
  <si>
    <t>jun</t>
  </si>
  <si>
    <t>jul</t>
  </si>
  <si>
    <t>aug</t>
  </si>
  <si>
    <t>sep</t>
  </si>
  <si>
    <t>okt</t>
  </si>
  <si>
    <t>nov</t>
  </si>
  <si>
    <t>dec</t>
  </si>
  <si>
    <t xml:space="preserve"> Inkoop voorraad</t>
  </si>
  <si>
    <t>Gewenste verstrekkingsdatum</t>
  </si>
  <si>
    <t>Totaal investeringsbedrag</t>
  </si>
  <si>
    <t>Financiering</t>
  </si>
  <si>
    <t>naar boven</t>
  </si>
  <si>
    <t>hoe vul ik dit in?</t>
  </si>
  <si>
    <t>Hoe vul ik dit in?</t>
  </si>
  <si>
    <t>wat is dit?</t>
  </si>
  <si>
    <t>aftrekposten</t>
  </si>
  <si>
    <t>Eindbalans</t>
  </si>
  <si>
    <t>Inkoopwaarde product 1</t>
  </si>
  <si>
    <t>Inkoopwaarde product 2</t>
  </si>
  <si>
    <t>Inkoopwaarde (excl. BTW)</t>
  </si>
  <si>
    <t>Inkoopwaarde product 3</t>
  </si>
  <si>
    <t xml:space="preserve"> Investering (uit begroting)</t>
  </si>
  <si>
    <t xml:space="preserve"> Lening(en) elders</t>
  </si>
  <si>
    <t>Datum ontvangst lening Qredits</t>
  </si>
  <si>
    <t>Datum ontvangst (eventuele) overige financieringen of achtergestelde leningen</t>
  </si>
  <si>
    <t>Inbreng eigen geld of lening</t>
  </si>
  <si>
    <t xml:space="preserve"> Investeringen</t>
  </si>
  <si>
    <t xml:space="preserve">Net als bij de verkoopprognose moet je voor elke maand invullen hoeveel je inkoopt en tegen welke prijs. Houd bij het invullen rekening mee hoe vaak je inkopen kunt doen: dagelijks, wekelijks, maandelijks. Soms kan het maar 1 keer per kwartaal. Geef ook hier aan wanneer je de leveranciers moet betalen. Hierdoor wordt de liquiditeitsbegroting automatisch en op de juiste manier ingevuld.
</t>
  </si>
  <si>
    <t>Bovenaan elk tabblad worden twee links weergegeven: "Hoe vul ik dit in?" en "Wat is dit?" Klik op beiden voor meer tips en toelichting.</t>
  </si>
  <si>
    <t>Nog te ontvangen</t>
  </si>
  <si>
    <t>Nog te betalen</t>
  </si>
  <si>
    <t xml:space="preserve"> Rente en kosten andere leningen</t>
  </si>
  <si>
    <t xml:space="preserve"> Aflossing andere leningen</t>
  </si>
  <si>
    <t>waarde eindvoorraad</t>
  </si>
  <si>
    <t xml:space="preserve"> BTW inkoop voorraad</t>
  </si>
  <si>
    <t>Zelf betaald</t>
  </si>
  <si>
    <t>Elders gefinancierd</t>
  </si>
  <si>
    <t>Voorwaarden lening Qredits</t>
  </si>
  <si>
    <t>Financiering Qredits</t>
  </si>
  <si>
    <t>Nog aan te schaffen</t>
  </si>
  <si>
    <t>Vervangingsinvestering</t>
  </si>
  <si>
    <t>Winst uit onderneming</t>
  </si>
  <si>
    <t>Totaal investeringen</t>
  </si>
  <si>
    <t>(inclusief grens van €450,-)</t>
  </si>
  <si>
    <t>Aftrek</t>
  </si>
  <si>
    <t>van</t>
  </si>
  <si>
    <t>tot</t>
  </si>
  <si>
    <t>Meegewerkte uren partner</t>
  </si>
  <si>
    <t>Investeringsbedrag</t>
  </si>
  <si>
    <t>Winst ondernemingsaftrek</t>
  </si>
  <si>
    <t>Ja_Nee</t>
  </si>
  <si>
    <t>maanden</t>
  </si>
  <si>
    <t>BTW</t>
  </si>
  <si>
    <t>looptijd</t>
  </si>
  <si>
    <t>Investering</t>
  </si>
  <si>
    <t>Aftrekposten</t>
  </si>
  <si>
    <t>Meewerkaftrek</t>
  </si>
  <si>
    <t xml:space="preserve"> …</t>
  </si>
  <si>
    <t>Zelfstandigenaftrek</t>
  </si>
  <si>
    <t>Ja</t>
  </si>
  <si>
    <t>Inventaris</t>
  </si>
  <si>
    <t>Startersaftrek</t>
  </si>
  <si>
    <t>Nee</t>
  </si>
  <si>
    <t>Machine</t>
  </si>
  <si>
    <t>minder dan 525 uren</t>
  </si>
  <si>
    <t>Computer</t>
  </si>
  <si>
    <t>MKB-Winstvrijstelling</t>
  </si>
  <si>
    <t>525 - 875 uren</t>
  </si>
  <si>
    <t>Betalen</t>
  </si>
  <si>
    <t>Investeren</t>
  </si>
  <si>
    <t>Software</t>
  </si>
  <si>
    <t>Investeringsaftrek</t>
  </si>
  <si>
    <t>875 -1225 uren</t>
  </si>
  <si>
    <t>1225 - 1750 uren</t>
  </si>
  <si>
    <t>Direct</t>
  </si>
  <si>
    <t>voor de start</t>
  </si>
  <si>
    <t>Startvoorraad</t>
  </si>
  <si>
    <t>meer dan 1750 uren</t>
  </si>
  <si>
    <t>Binnen 14 dagen</t>
  </si>
  <si>
    <t>maand 1</t>
  </si>
  <si>
    <t>Huurgarantie</t>
  </si>
  <si>
    <t>Binnen 30 dagen</t>
  </si>
  <si>
    <t>maand 2</t>
  </si>
  <si>
    <t>Franchisefee</t>
  </si>
  <si>
    <t>Binnen 60 dagen</t>
  </si>
  <si>
    <t>maand 3</t>
  </si>
  <si>
    <t>Binnen 90 dagen</t>
  </si>
  <si>
    <t>Overig</t>
  </si>
  <si>
    <t>Kosten</t>
  </si>
  <si>
    <t>Periodiek</t>
  </si>
  <si>
    <t>Vanaf maand 1</t>
  </si>
  <si>
    <t>Mijzelf</t>
  </si>
  <si>
    <t>Dag</t>
  </si>
  <si>
    <t>procenten</t>
  </si>
  <si>
    <t>Vanaf maand 2</t>
  </si>
  <si>
    <t>Familie / vrienden</t>
  </si>
  <si>
    <t>Week</t>
  </si>
  <si>
    <t>Vanaf maand 3</t>
  </si>
  <si>
    <t>Bank</t>
  </si>
  <si>
    <t>Vanaf maand 4</t>
  </si>
  <si>
    <t>Leverancier /huurbaas</t>
  </si>
  <si>
    <t>Kwartaal</t>
  </si>
  <si>
    <t>Vanaf maand 5</t>
  </si>
  <si>
    <t>Oud eigenaar</t>
  </si>
  <si>
    <t>Jaar</t>
  </si>
  <si>
    <t>Vanaf maand 6</t>
  </si>
  <si>
    <t>Periodiek2</t>
  </si>
  <si>
    <t>selecteer:</t>
  </si>
  <si>
    <t>Aftrekposten:</t>
  </si>
  <si>
    <t>vul in:</t>
  </si>
  <si>
    <t>Vlottende activa (excl. BTW)</t>
  </si>
  <si>
    <t>Promotie- en aanloopkosten</t>
  </si>
  <si>
    <t>Debiteuren (overbrugging)</t>
  </si>
  <si>
    <t>Kas (reserve)</t>
  </si>
  <si>
    <t>Achtergestelde leningen (familie / vrienden)</t>
  </si>
  <si>
    <t>Goodwill / franchisefee / Huurgarantie</t>
  </si>
  <si>
    <t>Bestaande Financiering</t>
  </si>
  <si>
    <t>Totaal Bestaande financieringen</t>
  </si>
  <si>
    <t>Nieuwe Financiering</t>
  </si>
  <si>
    <t>Totaal Financieringsbedrag</t>
  </si>
  <si>
    <t>Totaal Nieuwe financieringen</t>
  </si>
  <si>
    <t>Eigen geld (bv. spaargeld)</t>
  </si>
  <si>
    <t>Eigen geld (zelf betaald)</t>
  </si>
  <si>
    <t>Achtergestelde leningen</t>
  </si>
  <si>
    <t>(Spaar) geld</t>
  </si>
  <si>
    <t>Voorwaarden vaststellen ondernemerschap</t>
  </si>
  <si>
    <t>Om in aanmerking te komen voor de status van ondernemer voor de belastingdienst moet u voldoen aan een aantal voorwaarden, de belastingdienst hanteert daarbij de volgende uitgangspunten:</t>
  </si>
  <si>
    <t>Er wordt veel tijd in de onderneming gestoken</t>
  </si>
  <si>
    <t>Er is sprake van ondernemersrisico (aansprakelijkheid, geïnvesteerd vermogen, personeel, enz.)</t>
  </si>
  <si>
    <t>Uitstraling naar buiten toe (reclame, website, eigen briefpapier, visitekaartjes)</t>
  </si>
  <si>
    <t>Er is sprake van (uitzicht op) winst.</t>
  </si>
  <si>
    <t>De onderneming is in hoge mate zelfstandig</t>
  </si>
  <si>
    <t>De hoogte van de omzet</t>
  </si>
  <si>
    <t>Een groot aantal verschillende klanten (en een onafhankelijke onderlinge verhouding).</t>
  </si>
  <si>
    <t xml:space="preserve">Ondernemersaftrek: </t>
  </si>
  <si>
    <t>Om in aanmerking te komen voor de ondernemersaftrek dient u daarnaast minimaal 1225 uur (gedurende het betreffende kalenderjaar) aan uw onderneming te besteden en meer dan 50% van uw werktijd aan uw onderneming te besteden. De laatste voorwaarde geldt overigens niet als u in één van de vijf voorgaande jaren geen ondernemer was. Het is daarom erg verstandig om vanaf het begin een urenadministratie bij te houden! Start uw onderneming in de tweede helft van het jaar dan zal het urencriterium veelal moeilijk haalbaar zijn!</t>
  </si>
  <si>
    <t xml:space="preserve">Zelfstandigenaftrek: </t>
  </si>
  <si>
    <t>Voor bijna elke ondernemer is de zelfstandigenaftrek van toepassing. De voorwaarden om in aanmerking te komen zijn dat u de onderneming zelf drijft, per de eerste van het jaar nog geen 65 bent en voldoet aan het urencriterium.</t>
  </si>
  <si>
    <t>Werkt uw partner onbetaald mee in de onderneming dan kunt u profiteren van de meewerkaftrek. De meewerkaftrek is afhankelijk van de behaalde winst en het aantal meegewerkte uren (houd dus een urenadministratie bij).</t>
  </si>
  <si>
    <t>Investeringsaftrek (kleinschaligheid)</t>
  </si>
  <si>
    <t xml:space="preserve">Uitsluitingen: </t>
  </si>
  <si>
    <t>Bepaalde bedrijfsmiddelen komen echter niet in aanmerking voor de investeringsaftrek. Dit geldt onder andere voor gronden, woonhuizen, woonschepen, personenauto's (zeer energiezuinige auto's weer wel), dieren, effecten, vorderingen, goodwill, publieksrechtelijke vergunningen en bedrijfsmiddelen die hoofdzakelijk ter beschikking van derden worden gesteld. De investeringsaftrek is daarnaast niet van toepassing op goederen overgebracht vanuit het privé vermogen. Investeringen gedaan bij huisgenoten, bloed- en aanverwanten (en hun huisgenoten) zijn tevens uitgesloten.</t>
  </si>
  <si>
    <t>MKB-winstvrijstelling</t>
  </si>
  <si>
    <t>De investeringsbegroting vul je in door aan te geven waarvoor je geld nodig hebt. Begin met het invullen van de middelen die je nodig om je activiteit te kunnen uitvoeren, zoals een auto of computer. Zaken die nodig zijn ter ondersteuning van je bedrijfsproces. De middelen die je gebruikt voor je bedrijfsactiviteiten, zoals voorraad, voorfinancieren van debiteuren of BTW zijn onderdeel van je werkkapitaal behoefte. Deze vul je in onder Vlottende activa.
Als je middelen al zelf in bezit hebt en zelf hebt betaald, vul dan het bedrag in de eerste kolom ("Zelf betaald"). Heb je de middelen al wel in bezit, maar heb je hievoor geld geleend, vul dan het bedrag in de tweede kolom ("Elders gefinancierd") Alles wat je nog moet aanschaffen vul je dan in derde kolom.
In het de tabel "Bestaande Financiering" wordt berekend hoe de bestaande middelen zijn gefinancierd. Het enige wat je hierin moet aangeven is of je een lening van familie of vrienden hebt ontvangen om de bestaande te betalen.
In de tabel "Nieuwe Financiering" bij Financiering overig vul je in hoe de middelen middelen die je nog moet aanschaffen gaat financieren. Heb je eigen (spaar)geld, krijg je nog een lening van familie of vrienden of ga je elders nog financieringen aanvragen. Dit zijn meestal zakelijke leningen bij een bank.
Het bedrag dat je minimaal bij Qredits moet aanvragen wordt vervolgens automatisch uitgerekend.
De voorwaarden voor de lening van Qredits kun je zelf aangeven: Hoe lang moet de lening duren en wanneer wil je beginnen met aflossen? Geef ook aan wanneer je het geld nodig hebt. De gemiddelde doorlooptijd bij Qredits is 6 weken.</t>
  </si>
  <si>
    <t>In bezit (bestaande financiering)</t>
  </si>
  <si>
    <t>(nieuwe financiering)</t>
  </si>
  <si>
    <t>Betalingen</t>
  </si>
  <si>
    <t>Eind</t>
  </si>
  <si>
    <t xml:space="preserve">Vul deze prognose alleen in als je voorraad goederen inkoopt </t>
  </si>
  <si>
    <t>die je (eventueel na bewerking) weer verkoopt.</t>
  </si>
  <si>
    <t>Financieel plan</t>
  </si>
  <si>
    <r>
      <t>Rentepercentage</t>
    </r>
    <r>
      <rPr>
        <sz val="11"/>
        <color indexed="53"/>
        <rFont val="Calibri"/>
        <family val="2"/>
      </rPr>
      <t>**</t>
    </r>
  </si>
  <si>
    <t>** Onder voorbehoud van wijzigingen, kijk voor meer informatie op www.qredits.nl</t>
  </si>
  <si>
    <t>*** specificatie in 'Qredits maandlasten'</t>
  </si>
  <si>
    <r>
      <t>Overig</t>
    </r>
    <r>
      <rPr>
        <sz val="11"/>
        <color indexed="53"/>
        <rFont val="Calibri"/>
        <family val="2"/>
      </rPr>
      <t>*</t>
    </r>
  </si>
  <si>
    <r>
      <rPr>
        <b/>
        <sz val="10"/>
        <color indexed="53"/>
        <rFont val="Calibri"/>
        <family val="2"/>
      </rPr>
      <t>Bent u bestaand ondernemer?</t>
    </r>
    <r>
      <rPr>
        <sz val="10"/>
        <color indexed="53"/>
        <rFont val="Calibri"/>
        <family val="2"/>
      </rPr>
      <t xml:space="preserve"> Voeg dan uw jaarcijfers toe</t>
    </r>
  </si>
  <si>
    <t>Gas, water en elektriciteit</t>
  </si>
  <si>
    <t>Duurzame consumptiegoederen</t>
  </si>
  <si>
    <t>Ziektekostenverzekering</t>
  </si>
  <si>
    <t>Inkomen uit loondienst (salaris)</t>
  </si>
  <si>
    <t>PRIVE BEGROTING</t>
  </si>
  <si>
    <t>Per maand</t>
  </si>
  <si>
    <t>Per jaar</t>
  </si>
  <si>
    <t>Wonen:</t>
  </si>
  <si>
    <t xml:space="preserve">Huur of aflossing en rente hypotheek </t>
  </si>
  <si>
    <t>Gemeentelijke belastingen en heffingen</t>
  </si>
  <si>
    <t>Telefoonkosten en kabelaansluiting</t>
  </si>
  <si>
    <t>Totaal Wonen</t>
  </si>
  <si>
    <t>Verzekeringen:</t>
  </si>
  <si>
    <t>Arbeidsongeschiktheidsverzekering</t>
  </si>
  <si>
    <t>Particuliere aansprakelijkheidsverzekering</t>
  </si>
  <si>
    <t>Levensverzekering</t>
  </si>
  <si>
    <t>Inboedelverzekering</t>
  </si>
  <si>
    <t>Auto en motor verzekering</t>
  </si>
  <si>
    <t>Totaal verzekeringen</t>
  </si>
  <si>
    <t>Levensonderhoud:</t>
  </si>
  <si>
    <t>Levensmiddelen</t>
  </si>
  <si>
    <t>Kleding, schoenen ed.</t>
  </si>
  <si>
    <t>Uitgaan</t>
  </si>
  <si>
    <t>Sport</t>
  </si>
  <si>
    <t>Abonnementen en contributie</t>
  </si>
  <si>
    <t>Huisdieren</t>
  </si>
  <si>
    <t>Totaal levensonderhoud</t>
  </si>
  <si>
    <t>Vervoerskosten:</t>
  </si>
  <si>
    <t>Openbaar vervoer</t>
  </si>
  <si>
    <t>Auto</t>
  </si>
  <si>
    <t>Fiets</t>
  </si>
  <si>
    <t>Totaal vervoerskosten</t>
  </si>
  <si>
    <t>Overige uitgaven:</t>
  </si>
  <si>
    <t>Vakantie</t>
  </si>
  <si>
    <t>Kinderopvang</t>
  </si>
  <si>
    <t>Studiekosten</t>
  </si>
  <si>
    <t>Rente en aflossing openstaande schulden</t>
  </si>
  <si>
    <t>Totaal overige uitgaven</t>
  </si>
  <si>
    <t>Onvoorzien</t>
  </si>
  <si>
    <t>Totaal uitgaven</t>
  </si>
  <si>
    <t>Inkomen</t>
  </si>
  <si>
    <t>Kinderbijslag</t>
  </si>
  <si>
    <t>Overige Ontvangsten</t>
  </si>
  <si>
    <t xml:space="preserve">Hoogte hypoteek </t>
  </si>
  <si>
    <t xml:space="preserve">WOZ waarde woning </t>
  </si>
  <si>
    <t xml:space="preserve">Evt. opgebouwd kapitaal in een polis gekoppeld aan hypotheek </t>
  </si>
  <si>
    <t>Dekkingsbedrag evt. gesloten overlijdensrisico verzekering(en)</t>
  </si>
  <si>
    <t>Onvoorzien:</t>
  </si>
  <si>
    <t>Totaal onvoorzien</t>
  </si>
  <si>
    <t>Toeslagen (voor bijv. huur, zorg en kinderopvang)</t>
  </si>
  <si>
    <t>Inkomsten:</t>
  </si>
  <si>
    <t>Netto inkomen noodzakelijk uit bedrijf:</t>
  </si>
  <si>
    <t>Totaal inkomsten</t>
  </si>
  <si>
    <t>Bezittingen en schulden</t>
  </si>
  <si>
    <t>Woning:</t>
  </si>
  <si>
    <t>Schulden:</t>
  </si>
  <si>
    <t>Naam organisatie:</t>
  </si>
  <si>
    <t>bedrag:</t>
  </si>
  <si>
    <t>BTW tarief van …</t>
  </si>
  <si>
    <t>Klanten betalen …</t>
  </si>
  <si>
    <t>Product / Dienst 1</t>
  </si>
  <si>
    <t>Product / Dienst 2</t>
  </si>
  <si>
    <t>Product / Dienst 3</t>
  </si>
  <si>
    <t>Investeringen</t>
  </si>
  <si>
    <t>Huisvesting</t>
  </si>
  <si>
    <t>Kasmutatie per maand</t>
  </si>
  <si>
    <t>totaal</t>
  </si>
  <si>
    <t>Bedrag</t>
  </si>
  <si>
    <t>Oudedagsreserve</t>
  </si>
  <si>
    <t>Rekenblad Inkomstenbelasting</t>
  </si>
  <si>
    <t>Exploitatie</t>
  </si>
  <si>
    <t>Laatst bijgewerkt:</t>
  </si>
  <si>
    <t>Boekjaar</t>
  </si>
  <si>
    <t>Investerings- &amp;</t>
  </si>
  <si>
    <t xml:space="preserve">Financieringsbegroting </t>
  </si>
  <si>
    <r>
      <t xml:space="preserve">U hoeft alleen de </t>
    </r>
    <r>
      <rPr>
        <sz val="11"/>
        <color indexed="62"/>
        <rFont val="Calibri"/>
        <family val="2"/>
      </rPr>
      <t>blauwe</t>
    </r>
    <r>
      <rPr>
        <sz val="11"/>
        <color indexed="53"/>
        <rFont val="Calibri"/>
        <family val="2"/>
      </rPr>
      <t xml:space="preserve"> velden in te vullen, de grijze velden worden automatisch ingevuld.</t>
    </r>
  </si>
  <si>
    <t>* Indien van toepassing. Niet invullen als tweede vennoot ook privé-partner is.</t>
  </si>
  <si>
    <t>* Bedragen voor gehele huishouding (ook als tweede vennoot ook privé-partner is).</t>
  </si>
  <si>
    <t>* Indien van toepassing. Niet invullen als derde vennoot ook privé-partner is.</t>
  </si>
  <si>
    <t>Veel bedragen zijn (of worden) ingevuld naar aanleiding van de ingevulde investeringsbegroting, verkoop- en inkoopprognose. Wat je wel moet invullen zijn de kosten die maandelijks moet betalen en het bedrag wat je maandelijkse uit je onderneming moet halen om zelf van te leven.
Alle kosten die je invult worden doorgerekend in de exploitatiebegroting, daarom is het nodig deze liquiditeitsbegroting volledig in te vullen. Als alles is ingevuld, wordt zichtbaar of je elke maand genoeg geld op je rekening hebt om alles kunnen te betalen. Zo niet, vul dan op het tabblad Investering &amp; Financiering het hoogste bedrag dat je rood staat in bij de kas (reserve). Dat bedrag moet dus ook worden gefinancierd en noemen werkkapitaalbehoefte.</t>
  </si>
  <si>
    <t xml:space="preserve"> Afdracht inkomstenbelasting</t>
  </si>
  <si>
    <t>Korting</t>
  </si>
  <si>
    <t>-/- Kortingen</t>
  </si>
  <si>
    <t>Te betalen IB</t>
  </si>
  <si>
    <t>Heffingskortingen:</t>
  </si>
  <si>
    <t>Algemene heffingskorting</t>
  </si>
  <si>
    <t>Arbeidskorting</t>
  </si>
  <si>
    <t>Selecteer de looptijd van de lening (in jaren)</t>
  </si>
  <si>
    <r>
      <t>Financieringen overig</t>
    </r>
    <r>
      <rPr>
        <sz val="11"/>
        <color indexed="10"/>
        <rFont val="Calibri"/>
        <family val="2"/>
      </rPr>
      <t>*</t>
    </r>
  </si>
  <si>
    <r>
      <t>Financieringen overig</t>
    </r>
    <r>
      <rPr>
        <sz val="11"/>
        <color indexed="53"/>
        <rFont val="Calibri"/>
        <family val="2"/>
      </rPr>
      <t>*</t>
    </r>
  </si>
  <si>
    <t>Berekende kredietbehoefte</t>
  </si>
  <si>
    <t>Na hoeveel maanden wil je beginnen met aflossen?</t>
  </si>
  <si>
    <t>Selecteer de gewenste manier van aflossen</t>
  </si>
  <si>
    <t>Aflosmethode</t>
  </si>
  <si>
    <t>Annuïteit</t>
  </si>
  <si>
    <t>Lineair</t>
  </si>
  <si>
    <t>Voorfinanciering BTW (over investeringen)</t>
  </si>
  <si>
    <t>Startvoorraad product 1</t>
  </si>
  <si>
    <t>Startvoorraad product 2</t>
  </si>
  <si>
    <t>Startvoorraad product 3</t>
  </si>
  <si>
    <r>
      <t xml:space="preserve">Vul in hoeveel producten je verkoop of diensten je levert. Vul ook je prijs per product of dienst in. Je kunt dit voor drie verschillende diensten of producten doen.
Vul je eerste verkopen in de maand in wanneer je denkt voor het eerst omzet te kunnen gaan realiseren. 
</t>
    </r>
    <r>
      <rPr>
        <b/>
        <sz val="11"/>
        <color rgb="FF232572"/>
        <rFont val="Calibri"/>
        <family val="2"/>
      </rPr>
      <t>Is je omzet niet in aantallen uit te drukken, vul dan een 1 bij product in en vul de omzet per maand in.</t>
    </r>
    <r>
      <rPr>
        <sz val="11"/>
        <color rgb="FF232572"/>
        <rFont val="Calibri"/>
        <family val="2"/>
      </rPr>
      <t xml:space="preserve">
Maak deze verkoopprognose zorgvuldig, omdat het direct wordt doorgerekend in je exploitatie én liquiditeitsbegroting. Vul daarom ook in wanneer je klanten je moeten betalen. Is dat nog in dezelfde maand of betalen ze pas na dertig dagen (in de volgende maad dus ). In sommige branches is 60 dagen (dus na 2 maanden) heel normaal. Dit is belangijk om de liquiditeitsbegroting een juiste voorstelling van inkomsten te laten geven, zodat je een goede inschatting maakt van de werkkapitaalfinanciering.</t>
    </r>
  </si>
  <si>
    <t>Rechtsvorm</t>
  </si>
  <si>
    <t>Eenmanszaak</t>
  </si>
  <si>
    <t>V.O.F.</t>
  </si>
  <si>
    <t>B.V.</t>
  </si>
  <si>
    <t>Welke rechtsvorm heeft je bedrijf?</t>
  </si>
  <si>
    <t>Selecteer:</t>
  </si>
  <si>
    <t>Eén</t>
  </si>
  <si>
    <t>Ondernemers</t>
  </si>
  <si>
    <t>Twee</t>
  </si>
  <si>
    <t>Drie</t>
  </si>
  <si>
    <t>Hoeveel ondernemers zitten er in het bedrijf?</t>
  </si>
  <si>
    <r>
      <t xml:space="preserve"> Lening Qredits</t>
    </r>
    <r>
      <rPr>
        <sz val="9"/>
        <color rgb="FF232572"/>
        <rFont val="Calibri"/>
        <family val="2"/>
        <scheme val="minor"/>
      </rPr>
      <t xml:space="preserve"> (minus behandelkosten)</t>
    </r>
  </si>
  <si>
    <t>Aflossingsmethode</t>
  </si>
  <si>
    <t>Deel winst</t>
  </si>
  <si>
    <t>Totaal investeringen*</t>
  </si>
  <si>
    <t>Wat is de winstverdeling?</t>
  </si>
  <si>
    <t>is berekend:</t>
  </si>
  <si>
    <t>vul perc in:</t>
  </si>
  <si>
    <t>Zoals je kunt zien kun je hier bijna niets invullen. Alles is namelijk berekend door het invullen van je in- en verkoopprognose en je liquiditeitsprognose. Dus als je de exploitatiebegroting wilt aanpassen moet je die prognoses veranderen.
Het enige wat je kan invullen is de levensduur van de investeringen. Met andere woorden in hoeveel jaren worden de investeringen afgeschreven.</t>
  </si>
  <si>
    <t xml:space="preserve"> </t>
  </si>
  <si>
    <t>https://qredits.nl/krediet/</t>
  </si>
  <si>
    <t>Aankoop onroerend goed</t>
  </si>
  <si>
    <t>Spaargeld</t>
  </si>
  <si>
    <t>Overige bezittingen (bijvoorbeeld aandelen of vastgoed)</t>
  </si>
  <si>
    <t xml:space="preserve"> BTW kosten</t>
  </si>
  <si>
    <t xml:space="preserve"> BTW investering</t>
  </si>
  <si>
    <t>De startersaftrek is een verhoging van de zelfstandigenaftrek. U komt in aanmerking voor de startersaftrek als u recht heeft op zelfstandigenaftrek, in de 5 voorgaande jaren niet meer dan 2 maal de startersaftrek heeft toegepast en in minimaal 1 van deze jaren geen onderneming heeft gehad. U kunt als startende ondernemer dus 3 achtereenvolgende jaren profiteren van de startersaftrek.</t>
  </si>
  <si>
    <t>Variabelen IB 2017</t>
  </si>
  <si>
    <t>Zelfstandigenaftrek (2017)</t>
  </si>
  <si>
    <t>Meewerkaftrek (2017)</t>
  </si>
  <si>
    <t>Investeringsaftrek (2017)</t>
  </si>
  <si>
    <t>MKB-winstvrijstelling (2017)</t>
  </si>
  <si>
    <t>Ouderdagsreserve (2017)</t>
  </si>
  <si>
    <t>Heffingskorting (2017)</t>
  </si>
  <si>
    <t>Arbeidskorting (2017)</t>
  </si>
  <si>
    <t>Startersaftrek (2017)</t>
  </si>
  <si>
    <t>BEREKENING APR VOOR</t>
  </si>
  <si>
    <t>Termijn</t>
  </si>
  <si>
    <t>Periode</t>
  </si>
  <si>
    <t>Aflossing</t>
  </si>
  <si>
    <t>Rente</t>
  </si>
  <si>
    <t>Contante waarde</t>
  </si>
  <si>
    <t>Nr</t>
  </si>
  <si>
    <t>Vervaldatum</t>
  </si>
  <si>
    <t>Vanaf</t>
  </si>
  <si>
    <t>Tot en met</t>
  </si>
  <si>
    <t>Prorata</t>
  </si>
  <si>
    <t>Grondslag</t>
  </si>
  <si>
    <t>Cashflow</t>
  </si>
  <si>
    <t>Cashflow met kosten</t>
  </si>
  <si>
    <t>Nominale</t>
  </si>
  <si>
    <t>Effectieve</t>
  </si>
  <si>
    <t>Divisor</t>
  </si>
  <si>
    <t>Liquiditeitsbegroting</t>
  </si>
  <si>
    <t>Zelfstandigenaftrek (2022)</t>
  </si>
  <si>
    <t>Startersaftrek (2022)</t>
  </si>
  <si>
    <t>Meewerkaftrek (2022)</t>
  </si>
  <si>
    <t>Investeringsaftrek (2022)</t>
  </si>
  <si>
    <t>MKB-winstvrijstelling (2022)</t>
  </si>
  <si>
    <t>Ouderdagsreserve (2022)</t>
  </si>
  <si>
    <t>Arbeidskorting (2022)</t>
  </si>
  <si>
    <t>Heffingskorting (2022)</t>
  </si>
  <si>
    <t>De overheid probeert investeringen te stimuleren doormiddel van een extra investeringsaftrek in het jaar van aanschaf. Deze aftrek kan in mindering worden gebracht van de winst zodat uiteindelijk minder belasting betaald hoeft te worden. De investeringsaftrek staat dus los van de afschrijving. U heeft recht op de investeringsaftrek bij een investering van minimaal € 2.401,- en maximaal € 332.994,- (2022) in een bedrijfsmiddel (exclusief BTW als u recht heeft op BTW teruggave).</t>
  </si>
  <si>
    <t>De mkb-winstvrijstelling is een aftrekpost op uw winst. U krijgt deze vrijstelling als u ondernemer bent. U krijgt geen mkb-winstvrijstelling over de winst die u hebt behaald als medegerechtigde.
De mkb-winstvrijstelling is een percentage van de behaalde winst uit 1 of meer ondernemingen. De vrijstelling bedraagt 14% van de winst. U moet de winst eerst verminderen met de ondernemersaftrek.
In 2020 is de aftrek van de mkb-winstvrijstelling beperkt. Het maximale tarief voor aftrek in 2022 is 40%.</t>
  </si>
  <si>
    <t>Versie 1.2022.12.23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</si>
</sst>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 #,##0;&quot;€&quot;\ \-#,##0"/>
    <numFmt numFmtId="8" formatCode="&quot;€&quot;\ #,##0.00;[Red]&quot;€&quot;\ \-#,##0.00"/>
    <numFmt numFmtId="42" formatCode="_ &quot;€&quot;\ * #,##0_ ;_ &quot;€&quot;\ * \-#,##0_ ;_ &quot;€&quot;\ * &quot;-&quot;_ ;_ @_ "/>
    <numFmt numFmtId="44" formatCode="_ &quot;€&quot;\ * #,##0.00_ ;_ &quot;€&quot;\ * \-#,##0.00_ ;_ &quot;€&quot;\ * &quot;-&quot;??_ ;_ @_ "/>
    <numFmt numFmtId="164" formatCode="&quot;€&quot;\ #,##0_-;&quot;€&quot;\ #,##0\-"/>
    <numFmt numFmtId="165" formatCode="&quot;€&quot;\ #,##0.00_-;&quot;€&quot;\ #,##0.00\-"/>
    <numFmt numFmtId="166" formatCode="_-&quot;€&quot;\ * #,##0_-;_-&quot;€&quot;\ * #,##0\-;_-&quot;€&quot;\ * &quot;-&quot;_-;_-@_-"/>
    <numFmt numFmtId="167" formatCode="_-* #,##0_-;_-* #,##0\-;_-* &quot;-&quot;_-;_-@_-"/>
    <numFmt numFmtId="168" formatCode="_-&quot;€&quot;\ * #,##0.00_-;_-&quot;€&quot;\ * #,##0.00\-;_-&quot;€&quot;\ * &quot;-&quot;??_-;_-@_-"/>
    <numFmt numFmtId="169" formatCode="_-* #,##0.00_-;_-* #,##0.00\-;_-* &quot;-&quot;??_-;_-@_-"/>
    <numFmt numFmtId="170" formatCode="0.0"/>
    <numFmt numFmtId="171" formatCode="#,##0.0"/>
    <numFmt numFmtId="172" formatCode="&quot;€&quot;\ #,##0.00_-"/>
    <numFmt numFmtId="173" formatCode="&quot;€&quot;\ #,##0_-"/>
    <numFmt numFmtId="174" formatCode="dd/mm/yy;@"/>
    <numFmt numFmtId="175" formatCode="#,##0_ ;[Red]\-#,##0\ "/>
    <numFmt numFmtId="176" formatCode="&quot;€&quot;\ #,##0"/>
    <numFmt numFmtId="177" formatCode="d/mm/yy;@"/>
    <numFmt numFmtId="178" formatCode="&quot;€&quot;\ #,##0.00"/>
    <numFmt numFmtId="179" formatCode="#,##0_-"/>
    <numFmt numFmtId="180" formatCode="&quot;€ &quot;#,##0.00_-"/>
    <numFmt numFmtId="181" formatCode="#,##0.00_ ;\-#,##0.00\ "/>
    <numFmt numFmtId="182" formatCode="#,##0.0_ ;\-#,##0.0\ "/>
    <numFmt numFmtId="183" formatCode="#,##0.000000_ ;[Red]\-#,##0.000000\ "/>
    <numFmt numFmtId="184" formatCode="0.00000%"/>
    <numFmt numFmtId="185" formatCode="&quot;€&quot;\ #,##0.00000;[Red]&quot;€&quot;\ \-#,##0.00000"/>
  </numFmts>
  <fonts count="91" x14ac:knownFonts="1">
    <font>
      <sz val="10"/>
      <name val="Arial"/>
    </font>
    <font>
      <sz val="10"/>
      <name val="Arial"/>
      <family val="2"/>
    </font>
    <font>
      <sz val="8"/>
      <name val="Arial"/>
      <family val="2"/>
    </font>
    <font>
      <sz val="10"/>
      <name val="Arial"/>
      <family val="2"/>
    </font>
    <font>
      <b/>
      <sz val="8"/>
      <color indexed="81"/>
      <name val="Tahoma"/>
      <family val="2"/>
    </font>
    <font>
      <sz val="8"/>
      <color indexed="81"/>
      <name val="Tahoma"/>
      <family val="2"/>
    </font>
    <font>
      <sz val="11"/>
      <color indexed="10"/>
      <name val="Calibri"/>
      <family val="2"/>
    </font>
    <font>
      <b/>
      <sz val="10"/>
      <color indexed="81"/>
      <name val="Tahoma"/>
      <family val="2"/>
    </font>
    <font>
      <sz val="10"/>
      <color indexed="81"/>
      <name val="Tahoma"/>
      <family val="2"/>
    </font>
    <font>
      <sz val="11"/>
      <color indexed="53"/>
      <name val="Calibri"/>
      <family val="2"/>
    </font>
    <font>
      <b/>
      <sz val="10"/>
      <color indexed="53"/>
      <name val="Calibri"/>
      <family val="2"/>
    </font>
    <font>
      <sz val="10"/>
      <color indexed="53"/>
      <name val="Calibri"/>
      <family val="2"/>
    </font>
    <font>
      <sz val="10"/>
      <color indexed="18"/>
      <name val="Univers"/>
      <family val="2"/>
    </font>
    <font>
      <b/>
      <sz val="10"/>
      <color indexed="9"/>
      <name val="Univers"/>
      <family val="2"/>
    </font>
    <font>
      <sz val="9"/>
      <color indexed="81"/>
      <name val="Tahoma"/>
      <family val="2"/>
    </font>
    <font>
      <b/>
      <sz val="9"/>
      <color indexed="81"/>
      <name val="Tahoma"/>
      <family val="2"/>
    </font>
    <font>
      <sz val="11"/>
      <color indexed="62"/>
      <name val="Calibri"/>
      <family val="2"/>
    </font>
    <font>
      <b/>
      <sz val="11"/>
      <color indexed="62"/>
      <name val="Calibri"/>
      <family val="2"/>
    </font>
    <font>
      <sz val="10"/>
      <name val="Calibri"/>
      <family val="2"/>
    </font>
    <font>
      <b/>
      <sz val="10"/>
      <color indexed="9"/>
      <name val="Calibri"/>
      <family val="2"/>
    </font>
    <font>
      <sz val="11"/>
      <color theme="1"/>
      <name val="Calibri"/>
      <family val="2"/>
      <scheme val="minor"/>
    </font>
    <font>
      <sz val="11"/>
      <color theme="0"/>
      <name val="Calibri"/>
      <family val="2"/>
      <scheme val="minor"/>
    </font>
    <font>
      <b/>
      <sz val="11"/>
      <color theme="0"/>
      <name val="Calibri"/>
      <family val="2"/>
      <scheme val="minor"/>
    </font>
    <font>
      <u/>
      <sz val="10"/>
      <color theme="10"/>
      <name val="Arial"/>
      <family val="2"/>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20"/>
      <color theme="9"/>
      <name val="Calibri"/>
      <family val="2"/>
      <scheme val="minor"/>
    </font>
    <font>
      <sz val="11"/>
      <color rgb="FF000000"/>
      <name val="Calibri"/>
      <family val="2"/>
      <scheme val="minor"/>
    </font>
    <font>
      <b/>
      <sz val="11"/>
      <color rgb="FF232572"/>
      <name val="Calibri"/>
      <family val="2"/>
      <scheme val="minor"/>
    </font>
    <font>
      <b/>
      <sz val="36"/>
      <color theme="9"/>
      <name val="Calibri"/>
      <family val="2"/>
      <scheme val="minor"/>
    </font>
    <font>
      <u/>
      <sz val="16"/>
      <color theme="10"/>
      <name val="Calibri"/>
      <family val="2"/>
      <scheme val="minor"/>
    </font>
    <font>
      <sz val="11"/>
      <color rgb="FF232572"/>
      <name val="Calibri"/>
      <family val="2"/>
      <scheme val="minor"/>
    </font>
    <font>
      <sz val="20"/>
      <color rgb="FFFF6600"/>
      <name val="Calibri"/>
      <family val="2"/>
      <scheme val="minor"/>
    </font>
    <font>
      <b/>
      <sz val="11"/>
      <color theme="9"/>
      <name val="Calibri"/>
      <family val="2"/>
      <scheme val="minor"/>
    </font>
    <font>
      <i/>
      <sz val="11"/>
      <color rgb="FF232572"/>
      <name val="Calibri"/>
      <family val="2"/>
      <scheme val="minor"/>
    </font>
    <font>
      <sz val="20"/>
      <color rgb="FF232572"/>
      <name val="Calibri"/>
      <family val="2"/>
      <scheme val="minor"/>
    </font>
    <font>
      <i/>
      <sz val="11"/>
      <name val="Calibri"/>
      <family val="2"/>
      <scheme val="minor"/>
    </font>
    <font>
      <sz val="11"/>
      <color rgb="FF002060"/>
      <name val="Calibri"/>
      <family val="2"/>
      <scheme val="minor"/>
    </font>
    <font>
      <i/>
      <sz val="11"/>
      <color rgb="FF002060"/>
      <name val="Calibri"/>
      <family val="2"/>
      <scheme val="minor"/>
    </font>
    <font>
      <b/>
      <sz val="11"/>
      <color rgb="FF002060"/>
      <name val="Calibri"/>
      <family val="2"/>
      <scheme val="minor"/>
    </font>
    <font>
      <b/>
      <i/>
      <sz val="11"/>
      <color rgb="FF002060"/>
      <name val="Calibri"/>
      <family val="2"/>
      <scheme val="minor"/>
    </font>
    <font>
      <i/>
      <sz val="9"/>
      <color rgb="FF232572"/>
      <name val="Calibri"/>
      <family val="2"/>
      <scheme val="minor"/>
    </font>
    <font>
      <i/>
      <sz val="9"/>
      <color rgb="FFFF0000"/>
      <name val="Calibri"/>
      <family val="2"/>
      <scheme val="minor"/>
    </font>
    <font>
      <b/>
      <i/>
      <sz val="12"/>
      <color rgb="FFFF0000"/>
      <name val="Calibri"/>
      <family val="2"/>
      <scheme val="minor"/>
    </font>
    <font>
      <i/>
      <sz val="8"/>
      <color rgb="FF000000"/>
      <name val="Calibri"/>
      <family val="2"/>
      <scheme val="minor"/>
    </font>
    <font>
      <b/>
      <sz val="11"/>
      <color rgb="FFFF0000"/>
      <name val="Calibri"/>
      <family val="2"/>
      <scheme val="minor"/>
    </font>
    <font>
      <b/>
      <i/>
      <sz val="11"/>
      <color rgb="FFFF000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b/>
      <sz val="36"/>
      <color rgb="FFFF6600"/>
      <name val="Calibri"/>
      <family val="2"/>
      <scheme val="minor"/>
    </font>
    <font>
      <sz val="11"/>
      <color rgb="FFFF6600"/>
      <name val="Calibri"/>
      <family val="2"/>
    </font>
    <font>
      <b/>
      <u/>
      <sz val="11"/>
      <color rgb="FF666666"/>
      <name val="Calibri"/>
      <family val="2"/>
      <scheme val="minor"/>
    </font>
    <font>
      <i/>
      <sz val="9"/>
      <color rgb="FFFF6600"/>
      <name val="Calibri"/>
      <family val="2"/>
      <scheme val="minor"/>
    </font>
    <font>
      <b/>
      <sz val="24"/>
      <color rgb="FFFF6600"/>
      <name val="Calibri"/>
      <family val="2"/>
      <scheme val="minor"/>
    </font>
    <font>
      <b/>
      <sz val="16"/>
      <color rgb="FFFF6600"/>
      <name val="Calibri"/>
      <family val="2"/>
      <scheme val="minor"/>
    </font>
    <font>
      <sz val="10"/>
      <color rgb="FFFF6600"/>
      <name val="Calibri"/>
      <family val="2"/>
      <scheme val="minor"/>
    </font>
    <font>
      <sz val="12"/>
      <color rgb="FF232572"/>
      <name val="Calibri"/>
      <family val="2"/>
      <scheme val="minor"/>
    </font>
    <font>
      <b/>
      <i/>
      <sz val="11"/>
      <color rgb="FF232572"/>
      <name val="Calibri"/>
      <family val="2"/>
      <scheme val="minor"/>
    </font>
    <font>
      <b/>
      <i/>
      <sz val="11"/>
      <color rgb="FFFF6600"/>
      <name val="Calibri"/>
      <family val="2"/>
      <scheme val="minor"/>
    </font>
    <font>
      <b/>
      <sz val="18"/>
      <color rgb="FFFF6600"/>
      <name val="Calibri"/>
      <family val="2"/>
      <scheme val="minor"/>
    </font>
    <font>
      <b/>
      <u/>
      <sz val="11"/>
      <name val="Calibri"/>
      <family val="2"/>
      <scheme val="minor"/>
    </font>
    <font>
      <sz val="10"/>
      <color rgb="FF232572"/>
      <name val="Calibri"/>
      <family val="2"/>
      <scheme val="minor"/>
    </font>
    <font>
      <sz val="11"/>
      <color rgb="FFFF6600"/>
      <name val="Calibri"/>
      <family val="2"/>
      <scheme val="minor"/>
    </font>
    <font>
      <b/>
      <u/>
      <sz val="11"/>
      <color theme="0"/>
      <name val="Calibri"/>
      <family val="2"/>
      <scheme val="minor"/>
    </font>
    <font>
      <b/>
      <sz val="10"/>
      <color rgb="FF232572"/>
      <name val="Calibri"/>
      <family val="2"/>
      <scheme val="minor"/>
    </font>
    <font>
      <b/>
      <sz val="10"/>
      <color rgb="FFFF6600"/>
      <name val="Calibri"/>
      <family val="2"/>
      <scheme val="minor"/>
    </font>
    <font>
      <sz val="24"/>
      <color rgb="FFFF6600"/>
      <name val="Arial"/>
      <family val="2"/>
    </font>
    <font>
      <i/>
      <sz val="11"/>
      <color theme="3"/>
      <name val="Calibri"/>
      <family val="2"/>
      <scheme val="minor"/>
    </font>
    <font>
      <b/>
      <sz val="10"/>
      <color theme="0"/>
      <name val="Calibri"/>
      <family val="2"/>
      <scheme val="minor"/>
    </font>
    <font>
      <sz val="10"/>
      <color rgb="FF232572"/>
      <name val="Arial"/>
      <family val="2"/>
    </font>
    <font>
      <b/>
      <sz val="11"/>
      <color rgb="FF232572"/>
      <name val="Calibri"/>
      <family val="2"/>
    </font>
    <font>
      <sz val="11"/>
      <color rgb="FF232572"/>
      <name val="Calibri"/>
      <family val="2"/>
    </font>
    <font>
      <i/>
      <sz val="10"/>
      <color indexed="62"/>
      <name val="Calibri"/>
      <family val="2"/>
    </font>
    <font>
      <i/>
      <sz val="10"/>
      <color rgb="FFFF6600"/>
      <name val="Calibri"/>
      <family val="2"/>
    </font>
    <font>
      <b/>
      <sz val="12"/>
      <color rgb="FFFF6600"/>
      <name val="Calibri"/>
      <family val="2"/>
      <scheme val="minor"/>
    </font>
    <font>
      <b/>
      <sz val="12"/>
      <color rgb="FF232572"/>
      <name val="Calibri"/>
      <family val="2"/>
      <scheme val="minor"/>
    </font>
    <font>
      <sz val="9"/>
      <color rgb="FF232572"/>
      <name val="Calibri"/>
      <family val="2"/>
      <scheme val="minor"/>
    </font>
    <font>
      <b/>
      <sz val="10"/>
      <color theme="0"/>
      <name val="Calibri"/>
      <family val="2"/>
    </font>
    <font>
      <b/>
      <i/>
      <sz val="11"/>
      <color theme="1"/>
      <name val="Calibri"/>
      <family val="2"/>
      <scheme val="minor"/>
    </font>
    <font>
      <i/>
      <sz val="10"/>
      <color theme="0"/>
      <name val="Calibri"/>
      <family val="2"/>
    </font>
    <font>
      <b/>
      <sz val="11"/>
      <color rgb="FFFF6600"/>
      <name val="Calibri"/>
      <family val="2"/>
      <scheme val="minor"/>
    </font>
    <font>
      <b/>
      <u/>
      <sz val="12"/>
      <color theme="10"/>
      <name val="Verdana"/>
      <family val="2"/>
    </font>
    <font>
      <b/>
      <sz val="11"/>
      <color rgb="FFFF0000"/>
      <name val="Calibri"/>
      <family val="2"/>
    </font>
    <font>
      <u/>
      <sz val="11"/>
      <color theme="1"/>
      <name val="Calibri"/>
      <family val="2"/>
      <scheme val="minor"/>
    </font>
    <font>
      <sz val="11"/>
      <color theme="1"/>
      <name val="Calibri"/>
      <family val="2"/>
    </font>
    <font>
      <sz val="11"/>
      <color rgb="FFFF0000"/>
      <name val="Calibri"/>
      <family val="2"/>
    </font>
  </fonts>
  <fills count="18">
    <fill>
      <patternFill patternType="none"/>
    </fill>
    <fill>
      <patternFill patternType="gray125"/>
    </fill>
    <fill>
      <patternFill patternType="solid">
        <fgColor indexed="9"/>
        <bgColor indexed="26"/>
      </patternFill>
    </fill>
    <fill>
      <patternFill patternType="solid">
        <fgColor indexed="18"/>
        <bgColor indexed="32"/>
      </patternFill>
    </fill>
    <fill>
      <patternFill patternType="solid">
        <fgColor indexed="42"/>
        <bgColor indexed="27"/>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23257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62"/>
        <bgColor indexed="56"/>
      </patternFill>
    </fill>
    <fill>
      <patternFill patternType="solid">
        <fgColor theme="4" tint="0.79998168889431442"/>
        <bgColor indexed="27"/>
      </patternFill>
    </fill>
    <fill>
      <patternFill patternType="solid">
        <fgColor theme="0" tint="-0.14999847407452621"/>
        <bgColor indexed="44"/>
      </patternFill>
    </fill>
    <fill>
      <patternFill patternType="solid">
        <fgColor theme="0"/>
        <bgColor indexed="56"/>
      </patternFill>
    </fill>
    <fill>
      <patternFill patternType="solid">
        <fgColor rgb="FF7030A0"/>
        <bgColor indexed="64"/>
      </patternFill>
    </fill>
  </fills>
  <borders count="77">
    <border>
      <left/>
      <right/>
      <top/>
      <bottom/>
      <diagonal/>
    </border>
    <border>
      <left style="thick">
        <color indexed="8"/>
      </left>
      <right style="thick">
        <color indexed="8"/>
      </right>
      <top/>
      <bottom/>
      <diagonal/>
    </border>
    <border>
      <left style="thick">
        <color indexed="8"/>
      </left>
      <right style="thick">
        <color indexed="8"/>
      </right>
      <top style="thick">
        <color indexed="8"/>
      </top>
      <bottom style="thick">
        <color indexed="8"/>
      </bottom>
      <diagonal/>
    </border>
    <border>
      <left style="thin">
        <color indexed="64"/>
      </left>
      <right style="thin">
        <color indexed="64"/>
      </right>
      <top style="thin">
        <color indexed="64"/>
      </top>
      <bottom style="thin">
        <color indexed="64"/>
      </bottom>
      <diagonal/>
    </border>
    <border>
      <left style="thin">
        <color rgb="FF232572"/>
      </left>
      <right style="thin">
        <color theme="0" tint="-0.24994659260841701"/>
      </right>
      <top style="thin">
        <color rgb="FF232572"/>
      </top>
      <bottom style="thin">
        <color rgb="FF232572"/>
      </bottom>
      <diagonal/>
    </border>
    <border>
      <left style="thin">
        <color rgb="FF232572"/>
      </left>
      <right style="thin">
        <color theme="0" tint="-0.24994659260841701"/>
      </right>
      <top style="thin">
        <color rgb="FF232572"/>
      </top>
      <bottom style="double">
        <color rgb="FF232572"/>
      </bottom>
      <diagonal/>
    </border>
    <border>
      <left style="thin">
        <color rgb="FF232572"/>
      </left>
      <right style="thin">
        <color theme="0" tint="-0.24994659260841701"/>
      </right>
      <top/>
      <bottom style="thin">
        <color rgb="FF232572"/>
      </bottom>
      <diagonal/>
    </border>
    <border>
      <left style="thin">
        <color theme="0" tint="-0.24994659260841701"/>
      </left>
      <right style="thin">
        <color rgb="FF232572"/>
      </right>
      <top style="thin">
        <color rgb="FF232572"/>
      </top>
      <bottom style="thin">
        <color rgb="FF232572"/>
      </bottom>
      <diagonal/>
    </border>
    <border>
      <left style="thin">
        <color theme="0" tint="-0.24994659260841701"/>
      </left>
      <right style="thin">
        <color rgb="FF232572"/>
      </right>
      <top style="thin">
        <color rgb="FF232572"/>
      </top>
      <bottom style="double">
        <color rgb="FF232572"/>
      </bottom>
      <diagonal/>
    </border>
    <border>
      <left style="thin">
        <color rgb="FF232572"/>
      </left>
      <right/>
      <top style="thin">
        <color rgb="FF232572"/>
      </top>
      <bottom/>
      <diagonal/>
    </border>
    <border>
      <left/>
      <right/>
      <top style="thin">
        <color rgb="FF232572"/>
      </top>
      <bottom/>
      <diagonal/>
    </border>
    <border>
      <left/>
      <right style="thin">
        <color rgb="FF232572"/>
      </right>
      <top style="thin">
        <color rgb="FF232572"/>
      </top>
      <bottom/>
      <diagonal/>
    </border>
    <border>
      <left style="thin">
        <color rgb="FF232572"/>
      </left>
      <right/>
      <top/>
      <bottom/>
      <diagonal/>
    </border>
    <border>
      <left/>
      <right style="thin">
        <color rgb="FF232572"/>
      </right>
      <top/>
      <bottom/>
      <diagonal/>
    </border>
    <border>
      <left/>
      <right/>
      <top/>
      <bottom style="thin">
        <color rgb="FF232572"/>
      </bottom>
      <diagonal/>
    </border>
    <border>
      <left/>
      <right style="thin">
        <color rgb="FF232572"/>
      </right>
      <top/>
      <bottom style="thin">
        <color rgb="FF232572"/>
      </bottom>
      <diagonal/>
    </border>
    <border>
      <left style="thin">
        <color rgb="FF232572"/>
      </left>
      <right style="thin">
        <color theme="0" tint="-0.24994659260841701"/>
      </right>
      <top style="thin">
        <color theme="3"/>
      </top>
      <bottom style="thin">
        <color theme="3"/>
      </bottom>
      <diagonal/>
    </border>
    <border>
      <left style="thin">
        <color rgb="FF232572"/>
      </left>
      <right style="thin">
        <color rgb="FF232572"/>
      </right>
      <top style="thin">
        <color rgb="FF232572"/>
      </top>
      <bottom style="thin">
        <color rgb="FF232572"/>
      </bottom>
      <diagonal/>
    </border>
    <border>
      <left style="thin">
        <color rgb="FF232572"/>
      </left>
      <right style="thin">
        <color theme="0" tint="-0.24994659260841701"/>
      </right>
      <top style="thin">
        <color theme="3"/>
      </top>
      <bottom style="double">
        <color rgb="FF232572"/>
      </bottom>
      <diagonal/>
    </border>
    <border>
      <left style="thin">
        <color rgb="FF232572"/>
      </left>
      <right/>
      <top/>
      <bottom style="thin">
        <color rgb="FF232572"/>
      </bottom>
      <diagonal/>
    </border>
    <border>
      <left style="thin">
        <color rgb="FF232572"/>
      </left>
      <right style="thin">
        <color theme="0" tint="-0.24994659260841701"/>
      </right>
      <top style="thin">
        <color rgb="FF232572"/>
      </top>
      <bottom style="thin">
        <color theme="3"/>
      </bottom>
      <diagonal/>
    </border>
    <border>
      <left style="thin">
        <color theme="0" tint="-0.24994659260841701"/>
      </left>
      <right style="thin">
        <color rgb="FF232572"/>
      </right>
      <top style="thin">
        <color rgb="FF232572"/>
      </top>
      <bottom style="thin">
        <color theme="3"/>
      </bottom>
      <diagonal/>
    </border>
    <border>
      <left style="thin">
        <color theme="0" tint="-0.24994659260841701"/>
      </left>
      <right style="thin">
        <color theme="0" tint="-0.24994659260841701"/>
      </right>
      <top style="thin">
        <color rgb="FF232572"/>
      </top>
      <bottom style="thin">
        <color theme="3"/>
      </bottom>
      <diagonal/>
    </border>
    <border>
      <left style="thin">
        <color theme="0" tint="-0.24994659260841701"/>
      </left>
      <right style="thin">
        <color theme="0" tint="-0.24994659260841701"/>
      </right>
      <top style="thin">
        <color theme="3"/>
      </top>
      <bottom style="thin">
        <color theme="3"/>
      </bottom>
      <diagonal/>
    </border>
    <border>
      <left style="thin">
        <color theme="0" tint="-0.24994659260841701"/>
      </left>
      <right style="thin">
        <color rgb="FF232572"/>
      </right>
      <top style="thin">
        <color theme="3"/>
      </top>
      <bottom style="thin">
        <color theme="3"/>
      </bottom>
      <diagonal/>
    </border>
    <border>
      <left style="thin">
        <color theme="0" tint="-0.24994659260841701"/>
      </left>
      <right style="thin">
        <color theme="0" tint="-0.24994659260841701"/>
      </right>
      <top style="thin">
        <color theme="3"/>
      </top>
      <bottom style="double">
        <color rgb="FF232572"/>
      </bottom>
      <diagonal/>
    </border>
    <border>
      <left style="thin">
        <color theme="0" tint="-0.24994659260841701"/>
      </left>
      <right style="thin">
        <color rgb="FF232572"/>
      </right>
      <top style="thin">
        <color theme="3"/>
      </top>
      <bottom style="double">
        <color rgb="FF232572"/>
      </bottom>
      <diagonal/>
    </border>
    <border>
      <left style="thin">
        <color theme="0" tint="-0.24994659260841701"/>
      </left>
      <right style="thin">
        <color theme="0" tint="-0.24994659260841701"/>
      </right>
      <top/>
      <bottom style="thin">
        <color rgb="FF232572"/>
      </bottom>
      <diagonal/>
    </border>
    <border>
      <left style="thin">
        <color theme="0" tint="-0.24994659260841701"/>
      </left>
      <right style="thin">
        <color rgb="FF232572"/>
      </right>
      <top/>
      <bottom style="thin">
        <color rgb="FF232572"/>
      </bottom>
      <diagonal/>
    </border>
    <border>
      <left style="thin">
        <color theme="0" tint="-0.24994659260841701"/>
      </left>
      <right/>
      <top style="thin">
        <color theme="3"/>
      </top>
      <bottom style="thin">
        <color theme="3"/>
      </bottom>
      <diagonal/>
    </border>
    <border>
      <left style="thin">
        <color theme="0" tint="-0.24994659260841701"/>
      </left>
      <right/>
      <top style="thin">
        <color theme="3"/>
      </top>
      <bottom style="double">
        <color rgb="FF232572"/>
      </bottom>
      <diagonal/>
    </border>
    <border>
      <left style="thin">
        <color theme="0" tint="-0.24994659260841701"/>
      </left>
      <right/>
      <top style="thin">
        <color rgb="FF232572"/>
      </top>
      <bottom style="thin">
        <color theme="3"/>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double">
        <color theme="0" tint="-0.34998626667073579"/>
      </left>
      <right style="double">
        <color theme="0" tint="-0.34998626667073579"/>
      </right>
      <top/>
      <bottom/>
      <diagonal/>
    </border>
    <border>
      <left style="double">
        <color theme="0" tint="-0.34998626667073579"/>
      </left>
      <right style="double">
        <color theme="0" tint="-0.34998626667073579"/>
      </right>
      <top style="double">
        <color theme="0" tint="-0.34998626667073579"/>
      </top>
      <bottom/>
      <diagonal/>
    </border>
    <border>
      <left style="double">
        <color theme="0" tint="-0.34998626667073579"/>
      </left>
      <right style="double">
        <color theme="0" tint="-0.34998626667073579"/>
      </right>
      <top/>
      <bottom style="double">
        <color theme="0" tint="-0.34998626667073579"/>
      </bottom>
      <diagonal/>
    </border>
    <border>
      <left style="double">
        <color rgb="FF666666"/>
      </left>
      <right style="thin">
        <color rgb="FF666666"/>
      </right>
      <top style="double">
        <color rgb="FF666666"/>
      </top>
      <bottom style="thin">
        <color rgb="FF666666"/>
      </bottom>
      <diagonal/>
    </border>
    <border>
      <left style="double">
        <color rgb="FF666666"/>
      </left>
      <right style="thin">
        <color rgb="FF666666"/>
      </right>
      <top style="thin">
        <color rgb="FF666666"/>
      </top>
      <bottom style="thin">
        <color rgb="FF666666"/>
      </bottom>
      <diagonal/>
    </border>
    <border>
      <left style="thin">
        <color rgb="FF666666"/>
      </left>
      <right style="thin">
        <color rgb="FF666666"/>
      </right>
      <top style="thin">
        <color rgb="FF666666"/>
      </top>
      <bottom style="thin">
        <color rgb="FF666666"/>
      </bottom>
      <diagonal/>
    </border>
    <border>
      <left style="thin">
        <color rgb="FF666666"/>
      </left>
      <right style="double">
        <color rgb="FF666666"/>
      </right>
      <top style="thin">
        <color rgb="FF666666"/>
      </top>
      <bottom style="thin">
        <color rgb="FF666666"/>
      </bottom>
      <diagonal/>
    </border>
    <border>
      <left style="double">
        <color rgb="FF666666"/>
      </left>
      <right style="thin">
        <color rgb="FF666666"/>
      </right>
      <top style="thin">
        <color rgb="FF666666"/>
      </top>
      <bottom style="double">
        <color rgb="FF666666"/>
      </bottom>
      <diagonal/>
    </border>
    <border>
      <left style="thin">
        <color rgb="FF666666"/>
      </left>
      <right style="thin">
        <color rgb="FF666666"/>
      </right>
      <top style="thin">
        <color rgb="FF666666"/>
      </top>
      <bottom style="double">
        <color rgb="FF666666"/>
      </bottom>
      <diagonal/>
    </border>
    <border>
      <left style="thin">
        <color rgb="FF666666"/>
      </left>
      <right style="double">
        <color rgb="FF666666"/>
      </right>
      <top style="thin">
        <color rgb="FF666666"/>
      </top>
      <bottom style="double">
        <color rgb="FF666666"/>
      </bottom>
      <diagonal/>
    </border>
    <border>
      <left style="thin">
        <color rgb="FF666666"/>
      </left>
      <right style="thin">
        <color rgb="FF666666"/>
      </right>
      <top style="double">
        <color rgb="FF666666"/>
      </top>
      <bottom style="thin">
        <color rgb="FF666666"/>
      </bottom>
      <diagonal/>
    </border>
    <border>
      <left style="thin">
        <color rgb="FF666666"/>
      </left>
      <right style="double">
        <color rgb="FF666666"/>
      </right>
      <top style="double">
        <color rgb="FF666666"/>
      </top>
      <bottom style="thin">
        <color rgb="FF666666"/>
      </bottom>
      <diagonal/>
    </border>
    <border>
      <left style="thin">
        <color rgb="FF666666"/>
      </left>
      <right style="double">
        <color rgb="FF666666"/>
      </right>
      <top style="thin">
        <color rgb="FF666666"/>
      </top>
      <bottom/>
      <diagonal/>
    </border>
    <border>
      <left style="double">
        <color rgb="FF666666"/>
      </left>
      <right style="thin">
        <color rgb="FF666666"/>
      </right>
      <top style="thin">
        <color rgb="FF666666"/>
      </top>
      <bottom/>
      <diagonal/>
    </border>
    <border>
      <left style="thin">
        <color rgb="FF666666"/>
      </left>
      <right style="thin">
        <color rgb="FF666666"/>
      </right>
      <top style="thin">
        <color rgb="FF666666"/>
      </top>
      <bottom/>
      <diagonal/>
    </border>
    <border>
      <left style="thin">
        <color rgb="FF666666"/>
      </left>
      <right style="thin">
        <color rgb="FF666666"/>
      </right>
      <top/>
      <bottom style="double">
        <color rgb="FF666666"/>
      </bottom>
      <diagonal/>
    </border>
    <border>
      <left style="thin">
        <color rgb="FF666666"/>
      </left>
      <right style="double">
        <color rgb="FF666666"/>
      </right>
      <top/>
      <bottom style="double">
        <color rgb="FF666666"/>
      </bottom>
      <diagonal/>
    </border>
    <border>
      <left style="double">
        <color rgb="FF666666"/>
      </left>
      <right style="thin">
        <color rgb="FF666666"/>
      </right>
      <top/>
      <bottom style="double">
        <color rgb="FF666666"/>
      </bottom>
      <diagonal/>
    </border>
    <border>
      <left/>
      <right style="thin">
        <color theme="0"/>
      </right>
      <top/>
      <bottom style="thin">
        <color rgb="FFC5C6ED"/>
      </bottom>
      <diagonal/>
    </border>
    <border>
      <left style="thin">
        <color theme="0"/>
      </left>
      <right style="thin">
        <color theme="0"/>
      </right>
      <top/>
      <bottom style="thin">
        <color rgb="FFC5C6ED"/>
      </bottom>
      <diagonal/>
    </border>
    <border>
      <left style="thin">
        <color theme="0"/>
      </left>
      <right/>
      <top/>
      <bottom style="thin">
        <color rgb="FFC5C6ED"/>
      </bottom>
      <diagonal/>
    </border>
    <border>
      <left/>
      <right style="thin">
        <color theme="0"/>
      </right>
      <top style="thin">
        <color rgb="FFC5C6ED"/>
      </top>
      <bottom style="thin">
        <color rgb="FFC5C6ED"/>
      </bottom>
      <diagonal/>
    </border>
    <border>
      <left style="thin">
        <color theme="0"/>
      </left>
      <right style="thin">
        <color theme="0"/>
      </right>
      <top style="thin">
        <color rgb="FFC5C6ED"/>
      </top>
      <bottom style="thin">
        <color rgb="FFC5C6ED"/>
      </bottom>
      <diagonal/>
    </border>
    <border>
      <left style="thin">
        <color theme="0"/>
      </left>
      <right/>
      <top style="thin">
        <color rgb="FFC5C6ED"/>
      </top>
      <bottom style="thin">
        <color rgb="FFC5C6ED"/>
      </bottom>
      <diagonal/>
    </border>
    <border>
      <left/>
      <right/>
      <top style="thin">
        <color rgb="FFC5C6ED"/>
      </top>
      <bottom style="thin">
        <color rgb="FFC5C6ED"/>
      </bottom>
      <diagonal/>
    </border>
    <border>
      <left/>
      <right/>
      <top style="thin">
        <color rgb="FFC5C6ED"/>
      </top>
      <bottom/>
      <diagonal/>
    </border>
    <border>
      <left style="thin">
        <color theme="0"/>
      </left>
      <right/>
      <top style="thin">
        <color rgb="FFC5C6ED"/>
      </top>
      <bottom/>
      <diagonal/>
    </border>
    <border>
      <left/>
      <right/>
      <top style="thin">
        <color theme="0"/>
      </top>
      <bottom style="thin">
        <color rgb="FFC5C6ED"/>
      </bottom>
      <diagonal/>
    </border>
    <border>
      <left/>
      <right style="thin">
        <color theme="0"/>
      </right>
      <top style="thin">
        <color theme="0"/>
      </top>
      <bottom style="thin">
        <color rgb="FFC5C6ED"/>
      </bottom>
      <diagonal/>
    </border>
    <border>
      <left style="thin">
        <color theme="0"/>
      </left>
      <right style="thin">
        <color theme="0"/>
      </right>
      <top style="thin">
        <color theme="0"/>
      </top>
      <bottom style="thin">
        <color rgb="FFC5C6ED"/>
      </bottom>
      <diagonal/>
    </border>
    <border>
      <left style="thin">
        <color theme="0"/>
      </left>
      <right/>
      <top style="thin">
        <color theme="0"/>
      </top>
      <bottom style="thin">
        <color rgb="FFC5C6ED"/>
      </bottom>
      <diagonal/>
    </border>
    <border>
      <left style="thin">
        <color rgb="FFC5C6ED"/>
      </left>
      <right/>
      <top style="thin">
        <color rgb="FFC5C6ED"/>
      </top>
      <bottom style="thin">
        <color rgb="FFC5C6ED"/>
      </bottom>
      <diagonal/>
    </border>
    <border>
      <left/>
      <right style="thin">
        <color rgb="FFC5C6ED"/>
      </right>
      <top style="thin">
        <color rgb="FFC5C6ED"/>
      </top>
      <bottom style="thin">
        <color rgb="FFC5C6ED"/>
      </bottom>
      <diagonal/>
    </border>
    <border>
      <left style="thin">
        <color theme="0"/>
      </left>
      <right style="thin">
        <color theme="0"/>
      </right>
      <top/>
      <bottom/>
      <diagonal/>
    </border>
    <border>
      <left style="thin">
        <color rgb="FFC5C6ED"/>
      </left>
      <right/>
      <top/>
      <bottom/>
      <diagonal/>
    </border>
    <border>
      <left style="double">
        <color indexed="54"/>
      </left>
      <right style="double">
        <color indexed="54"/>
      </right>
      <top style="double">
        <color indexed="54"/>
      </top>
      <bottom style="double">
        <color indexed="54"/>
      </bottom>
      <diagonal/>
    </border>
    <border>
      <left/>
      <right/>
      <top/>
      <bottom style="thin">
        <color rgb="FFC5C6ED"/>
      </bottom>
      <diagonal/>
    </border>
  </borders>
  <cellStyleXfs count="13">
    <xf numFmtId="0" fontId="0" fillId="0" borderId="0"/>
    <xf numFmtId="0" fontId="3" fillId="0" borderId="0" applyFont="0" applyFill="0" applyBorder="0" applyAlignment="0" applyProtection="0"/>
    <xf numFmtId="0" fontId="23" fillId="0" borderId="0" applyNumberFormat="0" applyFill="0" applyBorder="0" applyAlignment="0" applyProtection="0">
      <alignment vertical="top"/>
      <protection locked="0"/>
    </xf>
    <xf numFmtId="180" fontId="12" fillId="2" borderId="1">
      <protection locked="0"/>
    </xf>
    <xf numFmtId="16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180" fontId="13" fillId="3" borderId="2"/>
    <xf numFmtId="0" fontId="20" fillId="0" borderId="0"/>
    <xf numFmtId="0" fontId="1" fillId="0" borderId="0"/>
    <xf numFmtId="0" fontId="12" fillId="4" borderId="0"/>
    <xf numFmtId="168" fontId="1" fillId="0" borderId="0" applyFont="0" applyFill="0" applyBorder="0" applyAlignment="0" applyProtection="0"/>
    <xf numFmtId="0" fontId="89" fillId="0" borderId="0"/>
  </cellStyleXfs>
  <cellXfs count="516">
    <xf numFmtId="0" fontId="0" fillId="0" borderId="0" xfId="0"/>
    <xf numFmtId="0" fontId="26" fillId="5" borderId="0" xfId="0" applyFont="1" applyFill="1"/>
    <xf numFmtId="0" fontId="27" fillId="5" borderId="0" xfId="0" applyFont="1" applyFill="1"/>
    <xf numFmtId="0" fontId="26" fillId="0" borderId="0" xfId="0" applyFont="1"/>
    <xf numFmtId="0" fontId="26" fillId="5" borderId="0" xfId="0" applyFont="1" applyFill="1" applyAlignment="1">
      <alignment vertical="center"/>
    </xf>
    <xf numFmtId="0" fontId="28" fillId="5" borderId="0" xfId="0" applyFont="1" applyFill="1"/>
    <xf numFmtId="0" fontId="29" fillId="0" borderId="4" xfId="0" applyFont="1" applyBorder="1" applyAlignment="1">
      <alignment vertical="center"/>
    </xf>
    <xf numFmtId="0" fontId="29" fillId="0" borderId="5" xfId="0" applyFont="1" applyBorder="1" applyAlignment="1">
      <alignment vertical="center"/>
    </xf>
    <xf numFmtId="0" fontId="30" fillId="6" borderId="6" xfId="0" applyFont="1" applyFill="1" applyBorder="1"/>
    <xf numFmtId="0" fontId="29" fillId="5" borderId="0" xfId="0" applyFont="1" applyFill="1"/>
    <xf numFmtId="3" fontId="26" fillId="7" borderId="7" xfId="0" applyNumberFormat="1" applyFont="1" applyFill="1" applyBorder="1" applyProtection="1">
      <protection locked="0"/>
    </xf>
    <xf numFmtId="3" fontId="26" fillId="7" borderId="8" xfId="0" applyNumberFormat="1" applyFont="1" applyFill="1" applyBorder="1" applyProtection="1">
      <protection locked="0"/>
    </xf>
    <xf numFmtId="0" fontId="31" fillId="5" borderId="0" xfId="0" applyFont="1" applyFill="1"/>
    <xf numFmtId="0" fontId="32" fillId="5" borderId="0" xfId="2" applyFont="1" applyFill="1" applyBorder="1" applyAlignment="1" applyProtection="1">
      <alignment vertical="center"/>
    </xf>
    <xf numFmtId="0" fontId="26" fillId="5" borderId="9" xfId="0" applyFont="1" applyFill="1" applyBorder="1" applyAlignment="1">
      <alignment vertical="center"/>
    </xf>
    <xf numFmtId="0" fontId="26" fillId="5" borderId="10" xfId="0" applyFont="1" applyFill="1" applyBorder="1"/>
    <xf numFmtId="0" fontId="26" fillId="5" borderId="11" xfId="0" applyFont="1" applyFill="1" applyBorder="1"/>
    <xf numFmtId="0" fontId="26" fillId="5" borderId="12" xfId="0" applyFont="1" applyFill="1" applyBorder="1" applyAlignment="1">
      <alignment vertical="center"/>
    </xf>
    <xf numFmtId="0" fontId="26" fillId="5" borderId="13" xfId="0" applyFont="1" applyFill="1" applyBorder="1"/>
    <xf numFmtId="0" fontId="33" fillId="5" borderId="0" xfId="0" applyFont="1" applyFill="1" applyAlignment="1">
      <alignment vertical="center"/>
    </xf>
    <xf numFmtId="0" fontId="34" fillId="5" borderId="0" xfId="0" applyFont="1" applyFill="1" applyAlignment="1">
      <alignment vertical="center"/>
    </xf>
    <xf numFmtId="0" fontId="33" fillId="5" borderId="0" xfId="0" applyFont="1" applyFill="1" applyAlignment="1">
      <alignment horizontal="center" vertical="center"/>
    </xf>
    <xf numFmtId="0" fontId="33" fillId="5" borderId="0" xfId="0" applyFont="1" applyFill="1" applyAlignment="1">
      <alignment vertical="center" wrapText="1"/>
    </xf>
    <xf numFmtId="3" fontId="33" fillId="5" borderId="0" xfId="0" applyNumberFormat="1" applyFont="1" applyFill="1" applyAlignment="1">
      <alignment horizontal="right" vertical="center"/>
    </xf>
    <xf numFmtId="171" fontId="26" fillId="5" borderId="0" xfId="0" applyNumberFormat="1" applyFont="1" applyFill="1" applyAlignment="1">
      <alignment horizontal="right" vertical="center"/>
    </xf>
    <xf numFmtId="3" fontId="26" fillId="5" borderId="0" xfId="0" applyNumberFormat="1" applyFont="1" applyFill="1" applyAlignment="1">
      <alignment horizontal="right" vertical="center"/>
    </xf>
    <xf numFmtId="0" fontId="35" fillId="5" borderId="0" xfId="0" applyFont="1" applyFill="1" applyAlignment="1">
      <alignment vertical="center"/>
    </xf>
    <xf numFmtId="171" fontId="33" fillId="5" borderId="0" xfId="0" applyNumberFormat="1" applyFont="1" applyFill="1" applyAlignment="1">
      <alignment horizontal="right" vertical="center"/>
    </xf>
    <xf numFmtId="0" fontId="34" fillId="5" borderId="0" xfId="0" applyFont="1" applyFill="1" applyAlignment="1">
      <alignment vertical="center" wrapText="1"/>
    </xf>
    <xf numFmtId="3" fontId="33" fillId="5" borderId="0" xfId="0" applyNumberFormat="1" applyFont="1" applyFill="1" applyAlignment="1">
      <alignment vertical="center"/>
    </xf>
    <xf numFmtId="3" fontId="36" fillId="5" borderId="0" xfId="0" applyNumberFormat="1" applyFont="1" applyFill="1" applyAlignment="1">
      <alignment vertical="center"/>
    </xf>
    <xf numFmtId="0" fontId="37" fillId="5" borderId="0" xfId="0" applyFont="1" applyFill="1" applyAlignment="1">
      <alignment vertical="center" wrapText="1"/>
    </xf>
    <xf numFmtId="0" fontId="27" fillId="5" borderId="0" xfId="0" applyFont="1" applyFill="1" applyAlignment="1">
      <alignment vertical="center"/>
    </xf>
    <xf numFmtId="0" fontId="26" fillId="5" borderId="14" xfId="0" applyFont="1" applyFill="1" applyBorder="1"/>
    <xf numFmtId="0" fontId="27" fillId="5" borderId="14" xfId="0" applyFont="1" applyFill="1" applyBorder="1"/>
    <xf numFmtId="0" fontId="26" fillId="5" borderId="15" xfId="0" applyFont="1" applyFill="1" applyBorder="1"/>
    <xf numFmtId="0" fontId="26" fillId="5" borderId="12" xfId="0" applyFont="1" applyFill="1" applyBorder="1"/>
    <xf numFmtId="0" fontId="27" fillId="5" borderId="0" xfId="0" applyFont="1" applyFill="1" applyAlignment="1">
      <alignment horizontal="center"/>
    </xf>
    <xf numFmtId="0" fontId="33" fillId="5" borderId="16" xfId="0" applyFont="1" applyFill="1" applyBorder="1"/>
    <xf numFmtId="1" fontId="26" fillId="5" borderId="0" xfId="0" applyNumberFormat="1" applyFont="1" applyFill="1"/>
    <xf numFmtId="0" fontId="22" fillId="8" borderId="17" xfId="0" applyFont="1" applyFill="1" applyBorder="1"/>
    <xf numFmtId="3" fontId="26" fillId="5" borderId="0" xfId="0" applyNumberFormat="1" applyFont="1" applyFill="1"/>
    <xf numFmtId="1" fontId="26" fillId="5" borderId="0" xfId="11" applyNumberFormat="1" applyFont="1" applyFill="1" applyBorder="1" applyAlignment="1" applyProtection="1">
      <alignment horizontal="right"/>
    </xf>
    <xf numFmtId="0" fontId="33" fillId="5" borderId="18" xfId="0" applyFont="1" applyFill="1" applyBorder="1"/>
    <xf numFmtId="0" fontId="33" fillId="5" borderId="0" xfId="0" applyFont="1" applyFill="1"/>
    <xf numFmtId="3" fontId="33" fillId="5" borderId="0" xfId="0" applyNumberFormat="1" applyFont="1" applyFill="1"/>
    <xf numFmtId="3" fontId="27" fillId="5" borderId="0" xfId="0" applyNumberFormat="1" applyFont="1" applyFill="1"/>
    <xf numFmtId="1" fontId="27" fillId="5" borderId="0" xfId="0" applyNumberFormat="1" applyFont="1" applyFill="1"/>
    <xf numFmtId="0" fontId="26" fillId="5" borderId="19" xfId="0" applyFont="1" applyFill="1" applyBorder="1"/>
    <xf numFmtId="0" fontId="30" fillId="5" borderId="0" xfId="0" applyFont="1" applyFill="1"/>
    <xf numFmtId="3" fontId="30" fillId="5" borderId="0" xfId="0" applyNumberFormat="1" applyFont="1" applyFill="1"/>
    <xf numFmtId="0" fontId="22" fillId="8" borderId="20" xfId="0" applyFont="1" applyFill="1" applyBorder="1"/>
    <xf numFmtId="0" fontId="22" fillId="8" borderId="21" xfId="0" applyFont="1" applyFill="1" applyBorder="1"/>
    <xf numFmtId="0" fontId="22" fillId="8" borderId="22" xfId="0" applyFont="1" applyFill="1" applyBorder="1"/>
    <xf numFmtId="9" fontId="33" fillId="9" borderId="23" xfId="0" applyNumberFormat="1" applyFont="1" applyFill="1" applyBorder="1"/>
    <xf numFmtId="167" fontId="33" fillId="9" borderId="24" xfId="0" applyNumberFormat="1" applyFont="1" applyFill="1" applyBorder="1"/>
    <xf numFmtId="9" fontId="33" fillId="9" borderId="25" xfId="0" applyNumberFormat="1" applyFont="1" applyFill="1" applyBorder="1"/>
    <xf numFmtId="167" fontId="33" fillId="9" borderId="26" xfId="0" applyNumberFormat="1" applyFont="1" applyFill="1" applyBorder="1"/>
    <xf numFmtId="0" fontId="33" fillId="6" borderId="27" xfId="0" applyFont="1" applyFill="1" applyBorder="1"/>
    <xf numFmtId="9" fontId="33" fillId="6" borderId="27" xfId="0" applyNumberFormat="1" applyFont="1" applyFill="1" applyBorder="1"/>
    <xf numFmtId="167" fontId="30" fillId="6" borderId="28" xfId="0" applyNumberFormat="1" applyFont="1" applyFill="1" applyBorder="1"/>
    <xf numFmtId="0" fontId="26" fillId="5" borderId="4" xfId="0" applyFont="1" applyFill="1" applyBorder="1"/>
    <xf numFmtId="0" fontId="26" fillId="5" borderId="5" xfId="0" applyFont="1" applyFill="1" applyBorder="1"/>
    <xf numFmtId="0" fontId="38" fillId="6" borderId="6" xfId="0" applyFont="1" applyFill="1" applyBorder="1"/>
    <xf numFmtId="3" fontId="26" fillId="6" borderId="28" xfId="0" applyNumberFormat="1" applyFont="1" applyFill="1" applyBorder="1"/>
    <xf numFmtId="0" fontId="38" fillId="5" borderId="0" xfId="0" applyFont="1" applyFill="1"/>
    <xf numFmtId="0" fontId="38" fillId="9" borderId="6" xfId="0" applyFont="1" applyFill="1" applyBorder="1"/>
    <xf numFmtId="3" fontId="38" fillId="9" borderId="28" xfId="0" applyNumberFormat="1" applyFont="1" applyFill="1" applyBorder="1"/>
    <xf numFmtId="0" fontId="38" fillId="6" borderId="4" xfId="0" applyFont="1" applyFill="1" applyBorder="1"/>
    <xf numFmtId="3" fontId="38" fillId="6" borderId="7" xfId="0" applyNumberFormat="1" applyFont="1" applyFill="1" applyBorder="1"/>
    <xf numFmtId="0" fontId="27" fillId="6" borderId="4" xfId="0" applyFont="1" applyFill="1" applyBorder="1"/>
    <xf numFmtId="3" fontId="27" fillId="6" borderId="7" xfId="0" applyNumberFormat="1" applyFont="1" applyFill="1" applyBorder="1"/>
    <xf numFmtId="0" fontId="33" fillId="5" borderId="0" xfId="0" applyFont="1" applyFill="1" applyAlignment="1">
      <alignment horizontal="center"/>
    </xf>
    <xf numFmtId="0" fontId="22" fillId="5" borderId="0" xfId="0" applyFont="1" applyFill="1" applyAlignment="1">
      <alignment horizontal="center"/>
    </xf>
    <xf numFmtId="3" fontId="33" fillId="5" borderId="0" xfId="0" applyNumberFormat="1" applyFont="1" applyFill="1" applyAlignment="1">
      <alignment horizontal="right"/>
    </xf>
    <xf numFmtId="0" fontId="39" fillId="5" borderId="0" xfId="0" applyFont="1" applyFill="1"/>
    <xf numFmtId="0" fontId="40" fillId="5" borderId="0" xfId="0" applyFont="1" applyFill="1"/>
    <xf numFmtId="0" fontId="30" fillId="5" borderId="0" xfId="0" applyFont="1" applyFill="1" applyAlignment="1">
      <alignment horizontal="center"/>
    </xf>
    <xf numFmtId="0" fontId="41" fillId="5" borderId="0" xfId="0" applyFont="1" applyFill="1" applyAlignment="1">
      <alignment horizontal="center"/>
    </xf>
    <xf numFmtId="0" fontId="42" fillId="5" borderId="0" xfId="0" applyFont="1" applyFill="1" applyAlignment="1">
      <alignment horizontal="center"/>
    </xf>
    <xf numFmtId="0" fontId="43" fillId="5" borderId="0" xfId="0" applyFont="1" applyFill="1" applyAlignment="1">
      <alignment vertical="center" wrapText="1"/>
    </xf>
    <xf numFmtId="0" fontId="44" fillId="5" borderId="0" xfId="0" applyFont="1" applyFill="1"/>
    <xf numFmtId="167" fontId="26" fillId="5" borderId="13" xfId="0" applyNumberFormat="1" applyFont="1" applyFill="1" applyBorder="1"/>
    <xf numFmtId="3" fontId="26" fillId="9" borderId="7" xfId="0" applyNumberFormat="1" applyFont="1" applyFill="1" applyBorder="1"/>
    <xf numFmtId="3" fontId="26" fillId="9" borderId="8" xfId="0" applyNumberFormat="1" applyFont="1" applyFill="1" applyBorder="1"/>
    <xf numFmtId="0" fontId="43" fillId="5" borderId="0" xfId="0" applyFont="1" applyFill="1" applyAlignment="1">
      <alignment horizontal="center" vertical="center" wrapText="1"/>
    </xf>
    <xf numFmtId="166" fontId="21" fillId="5" borderId="0" xfId="0" applyNumberFormat="1" applyFont="1" applyFill="1"/>
    <xf numFmtId="3" fontId="22" fillId="5" borderId="0" xfId="0" applyNumberFormat="1" applyFont="1" applyFill="1"/>
    <xf numFmtId="0" fontId="45" fillId="5" borderId="0" xfId="0" applyFont="1" applyFill="1"/>
    <xf numFmtId="0" fontId="25" fillId="5" borderId="0" xfId="0" applyFont="1" applyFill="1"/>
    <xf numFmtId="0" fontId="46" fillId="5" borderId="0" xfId="0" applyFont="1" applyFill="1"/>
    <xf numFmtId="166" fontId="46" fillId="5" borderId="0" xfId="0" applyNumberFormat="1" applyFont="1" applyFill="1"/>
    <xf numFmtId="3" fontId="22" fillId="5" borderId="0" xfId="0" applyNumberFormat="1" applyFont="1" applyFill="1" applyAlignment="1">
      <alignment vertical="center"/>
    </xf>
    <xf numFmtId="3" fontId="22" fillId="5" borderId="0" xfId="0" applyNumberFormat="1" applyFont="1" applyFill="1" applyAlignment="1">
      <alignment horizontal="right" vertical="center"/>
    </xf>
    <xf numFmtId="0" fontId="43" fillId="5" borderId="0" xfId="0" applyFont="1" applyFill="1" applyAlignment="1">
      <alignment vertical="top"/>
    </xf>
    <xf numFmtId="3" fontId="47" fillId="5" borderId="0" xfId="0" applyNumberFormat="1" applyFont="1" applyFill="1" applyAlignment="1">
      <alignment vertical="center"/>
    </xf>
    <xf numFmtId="9" fontId="21" fillId="5" borderId="0" xfId="0" applyNumberFormat="1" applyFont="1" applyFill="1" applyAlignment="1">
      <alignment vertical="center"/>
    </xf>
    <xf numFmtId="167" fontId="33" fillId="9" borderId="29" xfId="0" applyNumberFormat="1" applyFont="1" applyFill="1" applyBorder="1"/>
    <xf numFmtId="167" fontId="33" fillId="9" borderId="30" xfId="0" applyNumberFormat="1" applyFont="1" applyFill="1" applyBorder="1"/>
    <xf numFmtId="0" fontId="22" fillId="8" borderId="31" xfId="0" applyFont="1" applyFill="1" applyBorder="1"/>
    <xf numFmtId="175" fontId="26" fillId="5" borderId="0" xfId="0" applyNumberFormat="1" applyFont="1" applyFill="1"/>
    <xf numFmtId="5" fontId="26" fillId="5" borderId="0" xfId="0" applyNumberFormat="1" applyFont="1" applyFill="1"/>
    <xf numFmtId="0" fontId="21" fillId="5" borderId="0" xfId="0" applyFont="1" applyFill="1" applyAlignment="1">
      <alignment horizontal="center"/>
    </xf>
    <xf numFmtId="176" fontId="26" fillId="5" borderId="0" xfId="0" applyNumberFormat="1" applyFont="1" applyFill="1"/>
    <xf numFmtId="10" fontId="48" fillId="5" borderId="0" xfId="0" applyNumberFormat="1" applyFont="1" applyFill="1"/>
    <xf numFmtId="10" fontId="26" fillId="5" borderId="0" xfId="0" applyNumberFormat="1" applyFont="1" applyFill="1"/>
    <xf numFmtId="0" fontId="47" fillId="5" borderId="0" xfId="0" applyFont="1" applyFill="1"/>
    <xf numFmtId="3" fontId="26" fillId="5" borderId="14" xfId="0" applyNumberFormat="1" applyFont="1" applyFill="1" applyBorder="1"/>
    <xf numFmtId="173" fontId="26" fillId="5" borderId="0" xfId="0" applyNumberFormat="1" applyFont="1" applyFill="1"/>
    <xf numFmtId="3" fontId="30" fillId="5" borderId="0" xfId="0" applyNumberFormat="1" applyFont="1" applyFill="1" applyAlignment="1">
      <alignment horizontal="right" vertical="center"/>
    </xf>
    <xf numFmtId="0" fontId="26" fillId="5" borderId="32" xfId="0" applyFont="1" applyFill="1" applyBorder="1"/>
    <xf numFmtId="0" fontId="30" fillId="5" borderId="33" xfId="0" applyFont="1" applyFill="1" applyBorder="1"/>
    <xf numFmtId="3" fontId="30" fillId="5" borderId="33" xfId="0" applyNumberFormat="1" applyFont="1" applyFill="1" applyBorder="1"/>
    <xf numFmtId="1" fontId="27" fillId="5" borderId="33" xfId="0" applyNumberFormat="1" applyFont="1" applyFill="1" applyBorder="1"/>
    <xf numFmtId="1" fontId="27" fillId="5" borderId="34" xfId="0" applyNumberFormat="1" applyFont="1" applyFill="1" applyBorder="1"/>
    <xf numFmtId="0" fontId="26" fillId="5" borderId="35" xfId="0" applyFont="1" applyFill="1" applyBorder="1"/>
    <xf numFmtId="1" fontId="27" fillId="5" borderId="36" xfId="0" applyNumberFormat="1" applyFont="1" applyFill="1" applyBorder="1"/>
    <xf numFmtId="0" fontId="26" fillId="5" borderId="37" xfId="0" applyFont="1" applyFill="1" applyBorder="1"/>
    <xf numFmtId="0" fontId="33" fillId="5" borderId="38" xfId="0" applyFont="1" applyFill="1" applyBorder="1"/>
    <xf numFmtId="3" fontId="30" fillId="5" borderId="38" xfId="0" applyNumberFormat="1" applyFont="1" applyFill="1" applyBorder="1"/>
    <xf numFmtId="0" fontId="26" fillId="5" borderId="38" xfId="0" applyFont="1" applyFill="1" applyBorder="1"/>
    <xf numFmtId="1" fontId="27" fillId="5" borderId="38" xfId="0" applyNumberFormat="1" applyFont="1" applyFill="1" applyBorder="1"/>
    <xf numFmtId="1" fontId="27" fillId="5" borderId="39" xfId="0" applyNumberFormat="1" applyFont="1" applyFill="1" applyBorder="1"/>
    <xf numFmtId="0" fontId="49" fillId="0" borderId="0" xfId="0" applyFont="1"/>
    <xf numFmtId="176" fontId="50" fillId="0" borderId="0" xfId="8" applyNumberFormat="1" applyFont="1"/>
    <xf numFmtId="0" fontId="51" fillId="10" borderId="0" xfId="0" applyFont="1" applyFill="1"/>
    <xf numFmtId="0" fontId="52" fillId="10" borderId="0" xfId="0" applyFont="1" applyFill="1"/>
    <xf numFmtId="0" fontId="49" fillId="11" borderId="0" xfId="0" applyFont="1" applyFill="1"/>
    <xf numFmtId="9" fontId="49" fillId="11" borderId="0" xfId="0" applyNumberFormat="1" applyFont="1" applyFill="1"/>
    <xf numFmtId="0" fontId="50" fillId="11" borderId="0" xfId="0" applyFont="1" applyFill="1"/>
    <xf numFmtId="0" fontId="49" fillId="10" borderId="0" xfId="0" applyFont="1" applyFill="1" applyAlignment="1">
      <alignment horizontal="left"/>
    </xf>
    <xf numFmtId="9" fontId="26" fillId="11" borderId="0" xfId="0" applyNumberFormat="1" applyFont="1" applyFill="1" applyAlignment="1">
      <alignment vertical="center"/>
    </xf>
    <xf numFmtId="1" fontId="39" fillId="5" borderId="0" xfId="0" applyNumberFormat="1" applyFont="1" applyFill="1"/>
    <xf numFmtId="3" fontId="39" fillId="5" borderId="0" xfId="0" applyNumberFormat="1" applyFont="1" applyFill="1"/>
    <xf numFmtId="1" fontId="41" fillId="5" borderId="0" xfId="0" applyNumberFormat="1" applyFont="1" applyFill="1"/>
    <xf numFmtId="0" fontId="24" fillId="5" borderId="40" xfId="0" applyFont="1" applyFill="1" applyBorder="1" applyAlignment="1">
      <alignment vertical="center"/>
    </xf>
    <xf numFmtId="0" fontId="24" fillId="5" borderId="40" xfId="0" applyFont="1" applyFill="1" applyBorder="1"/>
    <xf numFmtId="0" fontId="53" fillId="5" borderId="40" xfId="2" applyFont="1" applyFill="1" applyBorder="1" applyAlignment="1" applyProtection="1"/>
    <xf numFmtId="0" fontId="26" fillId="5" borderId="41" xfId="0" applyFont="1" applyFill="1" applyBorder="1"/>
    <xf numFmtId="0" fontId="26" fillId="5" borderId="40" xfId="0" applyFont="1" applyFill="1" applyBorder="1" applyAlignment="1">
      <alignment wrapText="1"/>
    </xf>
    <xf numFmtId="0" fontId="26" fillId="5" borderId="40" xfId="0" applyFont="1" applyFill="1" applyBorder="1" applyAlignment="1">
      <alignment horizontal="left" vertical="center" indent="1"/>
    </xf>
    <xf numFmtId="0" fontId="26" fillId="5" borderId="40" xfId="0" applyFont="1" applyFill="1" applyBorder="1"/>
    <xf numFmtId="0" fontId="26" fillId="5" borderId="42" xfId="0" applyFont="1" applyFill="1" applyBorder="1" applyAlignment="1">
      <alignment wrapText="1"/>
    </xf>
    <xf numFmtId="0" fontId="21" fillId="5" borderId="0" xfId="0" applyFont="1" applyFill="1" applyAlignment="1">
      <alignment vertical="center"/>
    </xf>
    <xf numFmtId="0" fontId="54" fillId="5" borderId="0" xfId="0" applyFont="1" applyFill="1"/>
    <xf numFmtId="0" fontId="54" fillId="5" borderId="0" xfId="0" applyFont="1" applyFill="1" applyAlignment="1">
      <alignment horizontal="left"/>
    </xf>
    <xf numFmtId="0" fontId="55" fillId="5" borderId="0" xfId="0" applyFont="1" applyFill="1" applyAlignment="1">
      <alignment vertical="center" wrapText="1"/>
    </xf>
    <xf numFmtId="0" fontId="56" fillId="5" borderId="0" xfId="0" applyFont="1" applyFill="1"/>
    <xf numFmtId="0" fontId="57" fillId="5" borderId="0" xfId="0" applyFont="1" applyFill="1"/>
    <xf numFmtId="0" fontId="33" fillId="5" borderId="0" xfId="0" applyFont="1" applyFill="1" applyAlignment="1">
      <alignment horizontal="left" wrapText="1"/>
    </xf>
    <xf numFmtId="0" fontId="58" fillId="5" borderId="0" xfId="0" applyFont="1" applyFill="1"/>
    <xf numFmtId="0" fontId="59" fillId="5" borderId="0" xfId="0" applyFont="1" applyFill="1"/>
    <xf numFmtId="0" fontId="60" fillId="5" borderId="0" xfId="0" applyFont="1" applyFill="1"/>
    <xf numFmtId="167" fontId="26" fillId="5" borderId="0" xfId="0" applyNumberFormat="1" applyFont="1" applyFill="1"/>
    <xf numFmtId="0" fontId="33" fillId="5" borderId="0" xfId="10" applyFont="1" applyFill="1"/>
    <xf numFmtId="179" fontId="33" fillId="5" borderId="0" xfId="10" applyNumberFormat="1" applyFont="1" applyFill="1"/>
    <xf numFmtId="0" fontId="61" fillId="5" borderId="0" xfId="0" applyFont="1" applyFill="1"/>
    <xf numFmtId="0" fontId="30" fillId="5" borderId="0" xfId="10" applyFont="1" applyFill="1"/>
    <xf numFmtId="176" fontId="33" fillId="5" borderId="0" xfId="10" applyNumberFormat="1" applyFont="1" applyFill="1"/>
    <xf numFmtId="176" fontId="30" fillId="5" borderId="0" xfId="10" applyNumberFormat="1" applyFont="1" applyFill="1"/>
    <xf numFmtId="0" fontId="33" fillId="5" borderId="0" xfId="9" applyFont="1" applyFill="1"/>
    <xf numFmtId="176" fontId="33" fillId="5" borderId="0" xfId="9" applyNumberFormat="1" applyFont="1" applyFill="1"/>
    <xf numFmtId="0" fontId="30" fillId="5" borderId="0" xfId="9" applyFont="1" applyFill="1"/>
    <xf numFmtId="176" fontId="30" fillId="5" borderId="0" xfId="9" applyNumberFormat="1" applyFont="1" applyFill="1"/>
    <xf numFmtId="176" fontId="33" fillId="5" borderId="0" xfId="11" applyNumberFormat="1" applyFont="1" applyFill="1"/>
    <xf numFmtId="179" fontId="33" fillId="5" borderId="0" xfId="0" applyNumberFormat="1" applyFont="1" applyFill="1"/>
    <xf numFmtId="0" fontId="0" fillId="5" borderId="0" xfId="0" applyFill="1"/>
    <xf numFmtId="0" fontId="59" fillId="5" borderId="0" xfId="0" applyFont="1" applyFill="1" applyAlignment="1">
      <alignment vertical="center"/>
    </xf>
    <xf numFmtId="0" fontId="36" fillId="5" borderId="0" xfId="10" applyFont="1" applyFill="1"/>
    <xf numFmtId="0" fontId="59" fillId="5" borderId="0" xfId="0" applyFont="1" applyFill="1" applyAlignment="1">
      <alignment horizontal="left" vertical="center"/>
    </xf>
    <xf numFmtId="0" fontId="30" fillId="5" borderId="0" xfId="0" applyFont="1" applyFill="1" applyAlignment="1">
      <alignment vertical="center"/>
    </xf>
    <xf numFmtId="0" fontId="63" fillId="5" borderId="0" xfId="0" applyFont="1" applyFill="1"/>
    <xf numFmtId="0" fontId="22" fillId="5" borderId="0" xfId="0" applyFont="1" applyFill="1" applyAlignment="1">
      <alignment vertical="center"/>
    </xf>
    <xf numFmtId="0" fontId="59" fillId="5" borderId="0" xfId="0" applyFont="1" applyFill="1" applyAlignment="1">
      <alignment horizontal="left"/>
    </xf>
    <xf numFmtId="166" fontId="33" fillId="5" borderId="0" xfId="0" applyNumberFormat="1" applyFont="1" applyFill="1"/>
    <xf numFmtId="166" fontId="30" fillId="5" borderId="0" xfId="0" applyNumberFormat="1" applyFont="1" applyFill="1"/>
    <xf numFmtId="166" fontId="30" fillId="5" borderId="0" xfId="0" applyNumberFormat="1" applyFont="1" applyFill="1" applyProtection="1">
      <protection locked="0"/>
    </xf>
    <xf numFmtId="0" fontId="33" fillId="5" borderId="44" xfId="0" applyFont="1" applyFill="1" applyBorder="1"/>
    <xf numFmtId="0" fontId="64" fillId="0" borderId="0" xfId="0" applyFont="1"/>
    <xf numFmtId="0" fontId="50" fillId="0" borderId="0" xfId="0" applyFont="1"/>
    <xf numFmtId="2" fontId="50" fillId="0" borderId="0" xfId="0" applyNumberFormat="1" applyFont="1"/>
    <xf numFmtId="0" fontId="26" fillId="0" borderId="0" xfId="0" applyFont="1" applyAlignment="1">
      <alignment horizontal="left"/>
    </xf>
    <xf numFmtId="0" fontId="65" fillId="0" borderId="0" xfId="0" applyFont="1"/>
    <xf numFmtId="2" fontId="65" fillId="0" borderId="0" xfId="0" applyNumberFormat="1" applyFont="1"/>
    <xf numFmtId="0" fontId="66" fillId="0" borderId="0" xfId="0" applyFont="1"/>
    <xf numFmtId="14" fontId="66" fillId="0" borderId="0" xfId="0" applyNumberFormat="1" applyFont="1"/>
    <xf numFmtId="0" fontId="22" fillId="8" borderId="43" xfId="0" applyFont="1" applyFill="1" applyBorder="1"/>
    <xf numFmtId="0" fontId="22" fillId="8" borderId="50" xfId="0" applyFont="1" applyFill="1" applyBorder="1"/>
    <xf numFmtId="0" fontId="22" fillId="8" borderId="51" xfId="0" applyFont="1" applyFill="1" applyBorder="1"/>
    <xf numFmtId="0" fontId="33" fillId="0" borderId="44" xfId="0" applyFont="1" applyBorder="1"/>
    <xf numFmtId="181" fontId="67" fillId="12" borderId="45" xfId="0" applyNumberFormat="1" applyFont="1" applyFill="1" applyBorder="1"/>
    <xf numFmtId="0" fontId="33" fillId="5" borderId="44" xfId="0" applyFont="1" applyFill="1" applyBorder="1" applyAlignment="1">
      <alignment horizontal="left"/>
    </xf>
    <xf numFmtId="10" fontId="33" fillId="9" borderId="45" xfId="0" applyNumberFormat="1" applyFont="1" applyFill="1" applyBorder="1"/>
    <xf numFmtId="0" fontId="33" fillId="5" borderId="47" xfId="0" applyFont="1" applyFill="1" applyBorder="1" applyAlignment="1">
      <alignment horizontal="left"/>
    </xf>
    <xf numFmtId="4" fontId="33" fillId="9" borderId="48" xfId="0" applyNumberFormat="1" applyFont="1" applyFill="1" applyBorder="1"/>
    <xf numFmtId="4" fontId="33" fillId="9" borderId="49" xfId="0" applyNumberFormat="1" applyFont="1" applyFill="1" applyBorder="1"/>
    <xf numFmtId="0" fontId="22" fillId="8" borderId="43" xfId="0" applyFont="1" applyFill="1" applyBorder="1" applyAlignment="1">
      <alignment horizontal="left"/>
    </xf>
    <xf numFmtId="2" fontId="68" fillId="8" borderId="50" xfId="0" applyNumberFormat="1" applyFont="1" applyFill="1" applyBorder="1"/>
    <xf numFmtId="0" fontId="21" fillId="8" borderId="50" xfId="0" applyFont="1" applyFill="1" applyBorder="1"/>
    <xf numFmtId="0" fontId="33" fillId="5" borderId="47" xfId="0" applyFont="1" applyFill="1" applyBorder="1"/>
    <xf numFmtId="10" fontId="33" fillId="12" borderId="45" xfId="0" applyNumberFormat="1" applyFont="1" applyFill="1" applyBorder="1"/>
    <xf numFmtId="4" fontId="33" fillId="12" borderId="45" xfId="0" applyNumberFormat="1" applyFont="1" applyFill="1" applyBorder="1"/>
    <xf numFmtId="0" fontId="21" fillId="8" borderId="51" xfId="0" applyFont="1" applyFill="1" applyBorder="1"/>
    <xf numFmtId="4" fontId="33" fillId="12" borderId="46" xfId="0" applyNumberFormat="1" applyFont="1" applyFill="1" applyBorder="1"/>
    <xf numFmtId="4" fontId="33" fillId="9" borderId="45" xfId="0" applyNumberFormat="1" applyFont="1" applyFill="1" applyBorder="1"/>
    <xf numFmtId="4" fontId="33" fillId="9" borderId="46" xfId="0" applyNumberFormat="1" applyFont="1" applyFill="1" applyBorder="1"/>
    <xf numFmtId="0" fontId="69" fillId="0" borderId="0" xfId="0" applyFont="1"/>
    <xf numFmtId="0" fontId="69" fillId="0" borderId="0" xfId="8" applyFont="1"/>
    <xf numFmtId="0" fontId="66" fillId="0" borderId="0" xfId="8" applyFont="1"/>
    <xf numFmtId="176" fontId="69" fillId="0" borderId="0" xfId="8" applyNumberFormat="1" applyFont="1"/>
    <xf numFmtId="176" fontId="66" fillId="0" borderId="0" xfId="8" applyNumberFormat="1" applyFont="1"/>
    <xf numFmtId="0" fontId="66" fillId="0" borderId="3" xfId="8" applyFont="1" applyBorder="1"/>
    <xf numFmtId="178" fontId="66" fillId="0" borderId="0" xfId="8" applyNumberFormat="1" applyFont="1"/>
    <xf numFmtId="176" fontId="66" fillId="12" borderId="3" xfId="8" applyNumberFormat="1" applyFont="1" applyFill="1" applyBorder="1"/>
    <xf numFmtId="3" fontId="66" fillId="12" borderId="3" xfId="8" applyNumberFormat="1" applyFont="1" applyFill="1" applyBorder="1"/>
    <xf numFmtId="10" fontId="66" fillId="12" borderId="3" xfId="8" applyNumberFormat="1" applyFont="1" applyFill="1" applyBorder="1"/>
    <xf numFmtId="5" fontId="66" fillId="12" borderId="3" xfId="8" applyNumberFormat="1" applyFont="1" applyFill="1" applyBorder="1" applyAlignment="1">
      <alignment horizontal="right"/>
    </xf>
    <xf numFmtId="176" fontId="70" fillId="0" borderId="0" xfId="8" applyNumberFormat="1" applyFont="1"/>
    <xf numFmtId="0" fontId="70" fillId="0" borderId="0" xfId="8" applyFont="1"/>
    <xf numFmtId="0" fontId="70" fillId="0" borderId="0" xfId="0" applyFont="1"/>
    <xf numFmtId="178" fontId="70" fillId="0" borderId="0" xfId="8" applyNumberFormat="1" applyFont="1"/>
    <xf numFmtId="10" fontId="33" fillId="9" borderId="45" xfId="6" applyNumberFormat="1" applyFont="1" applyFill="1" applyBorder="1"/>
    <xf numFmtId="10" fontId="33" fillId="9" borderId="46" xfId="6" applyNumberFormat="1" applyFont="1" applyFill="1" applyBorder="1"/>
    <xf numFmtId="10" fontId="33" fillId="12" borderId="45" xfId="6" applyNumberFormat="1" applyFont="1" applyFill="1" applyBorder="1"/>
    <xf numFmtId="10" fontId="33" fillId="12" borderId="46" xfId="6" applyNumberFormat="1" applyFont="1" applyFill="1" applyBorder="1"/>
    <xf numFmtId="0" fontId="43" fillId="5" borderId="0" xfId="0" applyFont="1" applyFill="1" applyAlignment="1">
      <alignment vertical="center"/>
    </xf>
    <xf numFmtId="0" fontId="36" fillId="5" borderId="0" xfId="0" applyFont="1" applyFill="1"/>
    <xf numFmtId="0" fontId="66" fillId="0" borderId="3" xfId="8" applyFont="1" applyBorder="1" applyAlignment="1">
      <alignment horizontal="center"/>
    </xf>
    <xf numFmtId="0" fontId="33" fillId="0" borderId="53" xfId="0" applyFont="1" applyBorder="1"/>
    <xf numFmtId="4" fontId="33" fillId="12" borderId="54" xfId="0" applyNumberFormat="1" applyFont="1" applyFill="1" applyBorder="1"/>
    <xf numFmtId="4" fontId="33" fillId="12" borderId="52" xfId="0" applyNumberFormat="1" applyFont="1" applyFill="1" applyBorder="1"/>
    <xf numFmtId="0" fontId="33" fillId="0" borderId="57" xfId="0" applyFont="1" applyBorder="1"/>
    <xf numFmtId="4" fontId="33" fillId="12" borderId="55" xfId="0" applyNumberFormat="1" applyFont="1" applyFill="1" applyBorder="1"/>
    <xf numFmtId="4" fontId="33" fillId="12" borderId="56" xfId="0" applyNumberFormat="1" applyFont="1" applyFill="1" applyBorder="1"/>
    <xf numFmtId="0" fontId="33" fillId="0" borderId="44" xfId="0" quotePrefix="1" applyFont="1" applyBorder="1"/>
    <xf numFmtId="10" fontId="26" fillId="0" borderId="0" xfId="0" applyNumberFormat="1" applyFont="1"/>
    <xf numFmtId="0" fontId="30" fillId="5" borderId="58" xfId="0" applyFont="1" applyFill="1" applyBorder="1"/>
    <xf numFmtId="0" fontId="30" fillId="5" borderId="59" xfId="0" applyFont="1" applyFill="1" applyBorder="1" applyAlignment="1">
      <alignment horizontal="center" vertical="center"/>
    </xf>
    <xf numFmtId="0" fontId="30" fillId="5" borderId="61" xfId="0" applyFont="1" applyFill="1" applyBorder="1"/>
    <xf numFmtId="0" fontId="30" fillId="5" borderId="62" xfId="0" applyFont="1" applyFill="1" applyBorder="1" applyAlignment="1">
      <alignment horizontal="center"/>
    </xf>
    <xf numFmtId="0" fontId="30" fillId="5" borderId="62" xfId="0" applyFont="1" applyFill="1" applyBorder="1" applyAlignment="1">
      <alignment horizontal="center" vertical="center"/>
    </xf>
    <xf numFmtId="0" fontId="33" fillId="5" borderId="61" xfId="8" applyFont="1" applyFill="1" applyBorder="1"/>
    <xf numFmtId="176" fontId="33" fillId="9" borderId="62" xfId="0" applyNumberFormat="1" applyFont="1" applyFill="1" applyBorder="1" applyProtection="1">
      <protection locked="0"/>
    </xf>
    <xf numFmtId="176" fontId="33" fillId="12" borderId="63" xfId="11" applyNumberFormat="1" applyFont="1" applyFill="1" applyBorder="1" applyAlignment="1" applyProtection="1">
      <alignment horizontal="right"/>
    </xf>
    <xf numFmtId="0" fontId="33" fillId="5" borderId="62" xfId="0" applyFont="1" applyFill="1" applyBorder="1"/>
    <xf numFmtId="0" fontId="30" fillId="5" borderId="58" xfId="8" applyFont="1" applyFill="1" applyBorder="1"/>
    <xf numFmtId="0" fontId="30" fillId="5" borderId="59" xfId="0" applyFont="1" applyFill="1" applyBorder="1" applyAlignment="1">
      <alignment horizontal="center"/>
    </xf>
    <xf numFmtId="0" fontId="30" fillId="5" borderId="59" xfId="0" applyFont="1" applyFill="1" applyBorder="1"/>
    <xf numFmtId="0" fontId="30" fillId="5" borderId="60" xfId="0" applyFont="1" applyFill="1" applyBorder="1" applyAlignment="1">
      <alignment horizontal="center"/>
    </xf>
    <xf numFmtId="176" fontId="30" fillId="12" borderId="59" xfId="0" applyNumberFormat="1" applyFont="1" applyFill="1" applyBorder="1"/>
    <xf numFmtId="176" fontId="30" fillId="12" borderId="60" xfId="0" applyNumberFormat="1" applyFont="1" applyFill="1" applyBorder="1"/>
    <xf numFmtId="0" fontId="30" fillId="5" borderId="60" xfId="0" applyFont="1" applyFill="1" applyBorder="1"/>
    <xf numFmtId="176" fontId="33" fillId="12" borderId="63" xfId="0" applyNumberFormat="1" applyFont="1" applyFill="1" applyBorder="1"/>
    <xf numFmtId="176" fontId="33" fillId="9" borderId="63" xfId="0" applyNumberFormat="1" applyFont="1" applyFill="1" applyBorder="1" applyProtection="1">
      <protection locked="0"/>
    </xf>
    <xf numFmtId="176" fontId="30" fillId="12" borderId="63" xfId="0" applyNumberFormat="1" applyFont="1" applyFill="1" applyBorder="1"/>
    <xf numFmtId="0" fontId="33" fillId="5" borderId="70" xfId="0" applyFont="1" applyFill="1" applyBorder="1"/>
    <xf numFmtId="0" fontId="33" fillId="5" borderId="61" xfId="0" applyFont="1" applyFill="1" applyBorder="1"/>
    <xf numFmtId="1" fontId="33" fillId="9" borderId="63" xfId="0" applyNumberFormat="1" applyFont="1" applyFill="1" applyBorder="1" applyProtection="1">
      <protection locked="0"/>
    </xf>
    <xf numFmtId="177" fontId="33" fillId="9" borderId="63" xfId="0" applyNumberFormat="1" applyFont="1" applyFill="1" applyBorder="1" applyProtection="1">
      <protection locked="0"/>
    </xf>
    <xf numFmtId="0" fontId="33" fillId="5" borderId="61" xfId="0" applyFont="1" applyFill="1" applyBorder="1" applyAlignment="1">
      <alignment wrapText="1"/>
    </xf>
    <xf numFmtId="177" fontId="33" fillId="9" borderId="63" xfId="0" applyNumberFormat="1" applyFont="1" applyFill="1" applyBorder="1" applyAlignment="1" applyProtection="1">
      <alignment vertical="top"/>
      <protection locked="0"/>
    </xf>
    <xf numFmtId="0" fontId="30" fillId="5" borderId="61" xfId="0" applyFont="1" applyFill="1" applyBorder="1" applyAlignment="1">
      <alignment horizontal="left"/>
    </xf>
    <xf numFmtId="0" fontId="33" fillId="5" borderId="60" xfId="0" applyFont="1" applyFill="1" applyBorder="1"/>
    <xf numFmtId="0" fontId="33" fillId="5" borderId="61" xfId="0" applyFont="1" applyFill="1" applyBorder="1" applyAlignment="1">
      <alignment horizontal="left"/>
    </xf>
    <xf numFmtId="0" fontId="33" fillId="5" borderId="64" xfId="0" applyFont="1" applyFill="1" applyBorder="1" applyAlignment="1">
      <alignment horizontal="left"/>
    </xf>
    <xf numFmtId="0" fontId="33" fillId="5" borderId="64" xfId="0" applyFont="1" applyFill="1" applyBorder="1"/>
    <xf numFmtId="0" fontId="33" fillId="5" borderId="64" xfId="0" applyFont="1" applyFill="1" applyBorder="1" applyAlignment="1">
      <alignment wrapText="1"/>
    </xf>
    <xf numFmtId="0" fontId="19" fillId="13" borderId="0" xfId="0" applyFont="1" applyFill="1"/>
    <xf numFmtId="0" fontId="18" fillId="2" borderId="0" xfId="0" applyFont="1" applyFill="1"/>
    <xf numFmtId="1" fontId="33" fillId="9" borderId="63" xfId="0" applyNumberFormat="1" applyFont="1" applyFill="1" applyBorder="1" applyAlignment="1" applyProtection="1">
      <alignment horizontal="center"/>
      <protection locked="0"/>
    </xf>
    <xf numFmtId="10" fontId="33" fillId="12" borderId="63" xfId="5" applyNumberFormat="1" applyFont="1" applyFill="1" applyBorder="1" applyAlignment="1" applyProtection="1"/>
    <xf numFmtId="166" fontId="33" fillId="12" borderId="63" xfId="0" applyNumberFormat="1" applyFont="1" applyFill="1" applyBorder="1"/>
    <xf numFmtId="0" fontId="39" fillId="5" borderId="61" xfId="0" applyFont="1" applyFill="1" applyBorder="1"/>
    <xf numFmtId="0" fontId="41" fillId="5" borderId="61" xfId="0" applyFont="1" applyFill="1" applyBorder="1"/>
    <xf numFmtId="0" fontId="39" fillId="5" borderId="64" xfId="0" applyFont="1" applyFill="1" applyBorder="1"/>
    <xf numFmtId="0" fontId="39" fillId="0" borderId="64" xfId="0" applyFont="1" applyBorder="1" applyAlignment="1">
      <alignment vertical="center"/>
    </xf>
    <xf numFmtId="0" fontId="41" fillId="5" borderId="64" xfId="0" applyFont="1" applyFill="1" applyBorder="1"/>
    <xf numFmtId="0" fontId="30" fillId="5" borderId="67" xfId="0" applyFont="1" applyFill="1" applyBorder="1"/>
    <xf numFmtId="0" fontId="41" fillId="5" borderId="58" xfId="0" applyFont="1" applyFill="1" applyBorder="1"/>
    <xf numFmtId="9" fontId="36" fillId="9" borderId="63" xfId="0" applyNumberFormat="1" applyFont="1" applyFill="1" applyBorder="1" applyProtection="1">
      <protection locked="0"/>
    </xf>
    <xf numFmtId="9" fontId="36" fillId="9" borderId="63" xfId="0" applyNumberFormat="1" applyFont="1" applyFill="1" applyBorder="1" applyAlignment="1" applyProtection="1">
      <alignment vertical="center"/>
      <protection locked="0"/>
    </xf>
    <xf numFmtId="9" fontId="62" fillId="12" borderId="63" xfId="0" applyNumberFormat="1" applyFont="1" applyFill="1" applyBorder="1" applyAlignment="1">
      <alignment vertical="center"/>
    </xf>
    <xf numFmtId="0" fontId="30" fillId="5" borderId="60" xfId="0" applyFont="1" applyFill="1" applyBorder="1" applyAlignment="1">
      <alignment vertical="center"/>
    </xf>
    <xf numFmtId="3" fontId="33" fillId="9" borderId="62" xfId="0" applyNumberFormat="1" applyFont="1" applyFill="1" applyBorder="1" applyAlignment="1" applyProtection="1">
      <alignment horizontal="right" vertical="center"/>
      <protection locked="0"/>
    </xf>
    <xf numFmtId="3" fontId="33" fillId="12" borderId="63" xfId="0" applyNumberFormat="1" applyFont="1" applyFill="1" applyBorder="1" applyAlignment="1">
      <alignment horizontal="right" vertical="center"/>
    </xf>
    <xf numFmtId="44" fontId="33" fillId="9" borderId="62" xfId="0" applyNumberFormat="1" applyFont="1" applyFill="1" applyBorder="1" applyAlignment="1" applyProtection="1">
      <alignment horizontal="right" vertical="center"/>
      <protection locked="0"/>
    </xf>
    <xf numFmtId="3" fontId="33" fillId="12" borderId="62" xfId="0" applyNumberFormat="1" applyFont="1" applyFill="1" applyBorder="1"/>
    <xf numFmtId="3" fontId="33" fillId="12" borderId="62" xfId="0" applyNumberFormat="1" applyFont="1" applyFill="1" applyBorder="1" applyAlignment="1">
      <alignment horizontal="right" vertical="center"/>
    </xf>
    <xf numFmtId="0" fontId="30" fillId="5" borderId="61" xfId="0" applyFont="1" applyFill="1" applyBorder="1" applyAlignment="1">
      <alignment vertical="center"/>
    </xf>
    <xf numFmtId="0" fontId="30" fillId="5" borderId="62" xfId="0" applyFont="1" applyFill="1" applyBorder="1" applyAlignment="1">
      <alignment vertical="center"/>
    </xf>
    <xf numFmtId="3" fontId="33" fillId="5" borderId="62" xfId="0" applyNumberFormat="1" applyFont="1" applyFill="1" applyBorder="1" applyAlignment="1">
      <alignment horizontal="right" vertical="center"/>
    </xf>
    <xf numFmtId="3" fontId="33" fillId="5" borderId="63" xfId="0" applyNumberFormat="1" applyFont="1" applyFill="1" applyBorder="1" applyAlignment="1">
      <alignment horizontal="right" vertical="center"/>
    </xf>
    <xf numFmtId="171" fontId="33" fillId="9" borderId="62" xfId="0" applyNumberFormat="1" applyFont="1" applyFill="1" applyBorder="1" applyAlignment="1" applyProtection="1">
      <alignment horizontal="right" vertical="center"/>
      <protection locked="0"/>
    </xf>
    <xf numFmtId="3" fontId="30" fillId="12" borderId="62" xfId="0" applyNumberFormat="1" applyFont="1" applyFill="1" applyBorder="1" applyAlignment="1">
      <alignment horizontal="right" vertical="center"/>
    </xf>
    <xf numFmtId="3" fontId="30" fillId="12" borderId="63" xfId="0" applyNumberFormat="1" applyFont="1" applyFill="1" applyBorder="1" applyAlignment="1">
      <alignment horizontal="right" vertical="center"/>
    </xf>
    <xf numFmtId="0" fontId="33" fillId="5" borderId="62" xfId="0" applyFont="1" applyFill="1" applyBorder="1" applyAlignment="1">
      <alignment vertical="center"/>
    </xf>
    <xf numFmtId="3" fontId="30" fillId="5" borderId="62" xfId="0" applyNumberFormat="1" applyFont="1" applyFill="1" applyBorder="1" applyAlignment="1">
      <alignment horizontal="right" vertical="center"/>
    </xf>
    <xf numFmtId="3" fontId="30" fillId="5" borderId="63" xfId="0" applyNumberFormat="1" applyFont="1" applyFill="1" applyBorder="1" applyAlignment="1">
      <alignment horizontal="right" vertical="center"/>
    </xf>
    <xf numFmtId="3" fontId="36" fillId="12" borderId="62" xfId="0" applyNumberFormat="1" applyFont="1" applyFill="1" applyBorder="1" applyAlignment="1">
      <alignment vertical="center"/>
    </xf>
    <xf numFmtId="3" fontId="36" fillId="12" borderId="63" xfId="0" applyNumberFormat="1" applyFont="1" applyFill="1" applyBorder="1" applyAlignment="1">
      <alignment horizontal="right" vertical="center"/>
    </xf>
    <xf numFmtId="3" fontId="30" fillId="12" borderId="62" xfId="0" applyNumberFormat="1" applyFont="1" applyFill="1" applyBorder="1" applyAlignment="1">
      <alignment vertical="center"/>
    </xf>
    <xf numFmtId="0" fontId="22" fillId="5" borderId="62" xfId="0" applyFont="1" applyFill="1" applyBorder="1" applyAlignment="1">
      <alignment horizontal="center" vertical="center"/>
    </xf>
    <xf numFmtId="0" fontId="22" fillId="5" borderId="63" xfId="0" applyFont="1" applyFill="1" applyBorder="1" applyAlignment="1">
      <alignment horizontal="center" vertical="center"/>
    </xf>
    <xf numFmtId="0" fontId="30" fillId="5" borderId="60" xfId="0" applyFont="1" applyFill="1" applyBorder="1" applyAlignment="1">
      <alignment horizontal="center" vertical="center"/>
    </xf>
    <xf numFmtId="0" fontId="30" fillId="5" borderId="63" xfId="0" applyFont="1" applyFill="1" applyBorder="1" applyAlignment="1">
      <alignment horizontal="center" vertical="center"/>
    </xf>
    <xf numFmtId="181" fontId="33" fillId="9" borderId="62" xfId="0" applyNumberFormat="1" applyFont="1" applyFill="1" applyBorder="1" applyAlignment="1" applyProtection="1">
      <alignment horizontal="right" vertical="center"/>
      <protection locked="0"/>
    </xf>
    <xf numFmtId="4" fontId="33" fillId="12" borderId="63" xfId="0" applyNumberFormat="1" applyFont="1" applyFill="1" applyBorder="1" applyAlignment="1">
      <alignment horizontal="right" vertical="center"/>
    </xf>
    <xf numFmtId="0" fontId="30" fillId="5" borderId="59" xfId="0" applyFont="1" applyFill="1" applyBorder="1" applyAlignment="1">
      <alignment vertical="center" wrapText="1"/>
    </xf>
    <xf numFmtId="0" fontId="30" fillId="5" borderId="60" xfId="0" applyFont="1" applyFill="1" applyBorder="1" applyAlignment="1">
      <alignment vertical="center" wrapText="1"/>
    </xf>
    <xf numFmtId="0" fontId="30" fillId="5" borderId="58" xfId="0" applyFont="1" applyFill="1" applyBorder="1" applyAlignment="1">
      <alignment vertical="center"/>
    </xf>
    <xf numFmtId="0" fontId="30" fillId="5" borderId="59" xfId="0" applyFont="1" applyFill="1" applyBorder="1" applyAlignment="1">
      <alignment vertical="center"/>
    </xf>
    <xf numFmtId="166" fontId="30" fillId="12" borderId="61" xfId="0" applyNumberFormat="1" applyFont="1" applyFill="1" applyBorder="1" applyAlignment="1">
      <alignment horizontal="right" vertical="center"/>
    </xf>
    <xf numFmtId="0" fontId="16" fillId="2" borderId="0" xfId="0" applyFont="1" applyFill="1" applyAlignment="1">
      <alignment vertical="top" wrapText="1"/>
    </xf>
    <xf numFmtId="0" fontId="77" fillId="2" borderId="0" xfId="0" applyFont="1" applyFill="1" applyAlignment="1">
      <alignment horizontal="right" vertical="center" wrapText="1"/>
    </xf>
    <xf numFmtId="0" fontId="0" fillId="2" borderId="0" xfId="0" applyFill="1"/>
    <xf numFmtId="0" fontId="17" fillId="14" borderId="64" xfId="0" applyFont="1" applyFill="1" applyBorder="1" applyAlignment="1" applyProtection="1">
      <alignment horizontal="center" vertical="center"/>
      <protection locked="0"/>
    </xf>
    <xf numFmtId="0" fontId="79" fillId="5" borderId="0" xfId="10" applyFont="1" applyFill="1"/>
    <xf numFmtId="0" fontId="77" fillId="2" borderId="0" xfId="0" applyFont="1" applyFill="1" applyAlignment="1">
      <alignment horizontal="left" vertical="center"/>
    </xf>
    <xf numFmtId="0" fontId="39" fillId="9" borderId="63" xfId="0" applyFont="1" applyFill="1" applyBorder="1" applyAlignment="1" applyProtection="1">
      <alignment horizontal="center"/>
      <protection locked="0"/>
    </xf>
    <xf numFmtId="0" fontId="30" fillId="5" borderId="73" xfId="0" applyFont="1" applyFill="1" applyBorder="1"/>
    <xf numFmtId="0" fontId="36" fillId="5" borderId="73" xfId="0" applyFont="1" applyFill="1" applyBorder="1" applyAlignment="1">
      <alignment horizontal="right"/>
    </xf>
    <xf numFmtId="0" fontId="33" fillId="5" borderId="58" xfId="10" applyFont="1" applyFill="1" applyBorder="1"/>
    <xf numFmtId="176" fontId="33" fillId="9" borderId="59" xfId="10" applyNumberFormat="1" applyFont="1" applyFill="1" applyBorder="1" applyProtection="1">
      <protection locked="0"/>
    </xf>
    <xf numFmtId="176" fontId="33" fillId="12" borderId="60" xfId="3" applyNumberFormat="1" applyFont="1" applyFill="1" applyBorder="1" applyProtection="1"/>
    <xf numFmtId="0" fontId="33" fillId="5" borderId="61" xfId="10" applyFont="1" applyFill="1" applyBorder="1"/>
    <xf numFmtId="176" fontId="33" fillId="9" borderId="62" xfId="10" applyNumberFormat="1" applyFont="1" applyFill="1" applyBorder="1" applyProtection="1">
      <protection locked="0"/>
    </xf>
    <xf numFmtId="176" fontId="33" fillId="12" borderId="63" xfId="3" applyNumberFormat="1" applyFont="1" applyFill="1" applyBorder="1" applyProtection="1"/>
    <xf numFmtId="0" fontId="80" fillId="5" borderId="59" xfId="10" applyFont="1" applyFill="1" applyBorder="1"/>
    <xf numFmtId="179" fontId="80" fillId="5" borderId="60" xfId="10" applyNumberFormat="1" applyFont="1" applyFill="1" applyBorder="1"/>
    <xf numFmtId="0" fontId="79" fillId="5" borderId="58" xfId="10" applyFont="1" applyFill="1" applyBorder="1"/>
    <xf numFmtId="176" fontId="30" fillId="12" borderId="63" xfId="7" applyNumberFormat="1" applyFont="1" applyFill="1" applyBorder="1"/>
    <xf numFmtId="176" fontId="30" fillId="12" borderId="60" xfId="7" applyNumberFormat="1" applyFont="1" applyFill="1" applyBorder="1"/>
    <xf numFmtId="42" fontId="30" fillId="5" borderId="0" xfId="0" applyNumberFormat="1" applyFont="1" applyFill="1" applyProtection="1">
      <protection locked="0"/>
    </xf>
    <xf numFmtId="176" fontId="33" fillId="9" borderId="59" xfId="11" applyNumberFormat="1" applyFont="1" applyFill="1" applyBorder="1" applyProtection="1">
      <protection locked="0"/>
    </xf>
    <xf numFmtId="176" fontId="33" fillId="12" borderId="60" xfId="11" applyNumberFormat="1" applyFont="1" applyFill="1" applyBorder="1" applyProtection="1"/>
    <xf numFmtId="176" fontId="33" fillId="9" borderId="62" xfId="11" applyNumberFormat="1" applyFont="1" applyFill="1" applyBorder="1" applyProtection="1">
      <protection locked="0"/>
    </xf>
    <xf numFmtId="176" fontId="33" fillId="12" borderId="63" xfId="11" applyNumberFormat="1" applyFont="1" applyFill="1" applyBorder="1" applyProtection="1"/>
    <xf numFmtId="176" fontId="33" fillId="9" borderId="60" xfId="11" applyNumberFormat="1" applyFont="1" applyFill="1" applyBorder="1" applyProtection="1">
      <protection locked="0"/>
    </xf>
    <xf numFmtId="176" fontId="33" fillId="9" borderId="63" xfId="11" applyNumberFormat="1" applyFont="1" applyFill="1" applyBorder="1" applyProtection="1">
      <protection locked="0"/>
    </xf>
    <xf numFmtId="176" fontId="36" fillId="5" borderId="60" xfId="11" applyNumberFormat="1" applyFont="1" applyFill="1" applyBorder="1" applyProtection="1"/>
    <xf numFmtId="167" fontId="30" fillId="12" borderId="62" xfId="0" applyNumberFormat="1" applyFont="1" applyFill="1" applyBorder="1" applyAlignment="1">
      <alignment horizontal="center" vertical="center"/>
    </xf>
    <xf numFmtId="167" fontId="30" fillId="12" borderId="63" xfId="0" applyNumberFormat="1" applyFont="1" applyFill="1" applyBorder="1" applyAlignment="1">
      <alignment horizontal="center" vertical="center"/>
    </xf>
    <xf numFmtId="3" fontId="30" fillId="12" borderId="63" xfId="0" applyNumberFormat="1" applyFont="1" applyFill="1" applyBorder="1"/>
    <xf numFmtId="3" fontId="30" fillId="12" borderId="62" xfId="0" applyNumberFormat="1" applyFont="1" applyFill="1" applyBorder="1"/>
    <xf numFmtId="3" fontId="33" fillId="9" borderId="62" xfId="0" applyNumberFormat="1" applyFont="1" applyFill="1" applyBorder="1" applyProtection="1">
      <protection locked="0"/>
    </xf>
    <xf numFmtId="3" fontId="30" fillId="12" borderId="59" xfId="0" applyNumberFormat="1" applyFont="1" applyFill="1" applyBorder="1"/>
    <xf numFmtId="3" fontId="30" fillId="12" borderId="60" xfId="0" applyNumberFormat="1" applyFont="1" applyFill="1" applyBorder="1"/>
    <xf numFmtId="175" fontId="30" fillId="12" borderId="59" xfId="0" applyNumberFormat="1" applyFont="1" applyFill="1" applyBorder="1"/>
    <xf numFmtId="3" fontId="33" fillId="5" borderId="59" xfId="0" applyNumberFormat="1" applyFont="1" applyFill="1" applyBorder="1"/>
    <xf numFmtId="3" fontId="30" fillId="5" borderId="60" xfId="0" applyNumberFormat="1" applyFont="1" applyFill="1" applyBorder="1"/>
    <xf numFmtId="0" fontId="33" fillId="5" borderId="59" xfId="0" applyFont="1" applyFill="1" applyBorder="1"/>
    <xf numFmtId="0" fontId="30" fillId="5" borderId="58" xfId="0" applyFont="1" applyFill="1" applyBorder="1" applyAlignment="1">
      <alignment horizontal="left" vertical="center"/>
    </xf>
    <xf numFmtId="0" fontId="33" fillId="5" borderId="74" xfId="0" applyFont="1" applyFill="1" applyBorder="1" applyAlignment="1">
      <alignment vertical="top" wrapText="1"/>
    </xf>
    <xf numFmtId="0" fontId="82" fillId="2" borderId="0" xfId="0" applyFont="1" applyFill="1" applyAlignment="1">
      <alignment horizontal="center"/>
    </xf>
    <xf numFmtId="0" fontId="24" fillId="5" borderId="0" xfId="0" applyFont="1" applyFill="1" applyAlignment="1">
      <alignment horizontal="center"/>
    </xf>
    <xf numFmtId="0" fontId="83" fillId="5" borderId="0" xfId="0" applyFont="1" applyFill="1" applyAlignment="1">
      <alignment horizontal="center"/>
    </xf>
    <xf numFmtId="0" fontId="30" fillId="5" borderId="58" xfId="0" applyFont="1" applyFill="1" applyBorder="1" applyAlignment="1">
      <alignment horizontal="left"/>
    </xf>
    <xf numFmtId="173" fontId="30" fillId="12" borderId="60" xfId="0" applyNumberFormat="1" applyFont="1" applyFill="1" applyBorder="1" applyAlignment="1">
      <alignment horizontal="center"/>
    </xf>
    <xf numFmtId="164" fontId="30" fillId="12" borderId="63" xfId="0" applyNumberFormat="1" applyFont="1" applyFill="1" applyBorder="1" applyAlignment="1">
      <alignment horizontal="center"/>
    </xf>
    <xf numFmtId="1" fontId="30" fillId="12" borderId="63" xfId="0" applyNumberFormat="1" applyFont="1" applyFill="1" applyBorder="1" applyAlignment="1">
      <alignment horizontal="center" vertical="center"/>
    </xf>
    <xf numFmtId="0" fontId="30" fillId="12" borderId="63" xfId="0" applyFont="1" applyFill="1" applyBorder="1" applyAlignment="1">
      <alignment horizontal="center" vertical="center"/>
    </xf>
    <xf numFmtId="10" fontId="30" fillId="12" borderId="63" xfId="0" applyNumberFormat="1" applyFont="1" applyFill="1" applyBorder="1" applyAlignment="1">
      <alignment horizontal="center"/>
    </xf>
    <xf numFmtId="165" fontId="30" fillId="12" borderId="63" xfId="0" applyNumberFormat="1" applyFont="1" applyFill="1" applyBorder="1" applyAlignment="1">
      <alignment horizontal="center"/>
    </xf>
    <xf numFmtId="174" fontId="30" fillId="12" borderId="63" xfId="0" applyNumberFormat="1" applyFont="1" applyFill="1" applyBorder="1" applyAlignment="1">
      <alignment horizontal="center"/>
    </xf>
    <xf numFmtId="14" fontId="30" fillId="12" borderId="63" xfId="0" applyNumberFormat="1" applyFont="1" applyFill="1" applyBorder="1" applyAlignment="1">
      <alignment horizontal="center"/>
    </xf>
    <xf numFmtId="172" fontId="33" fillId="12" borderId="60" xfId="0" applyNumberFormat="1" applyFont="1" applyFill="1" applyBorder="1"/>
    <xf numFmtId="172" fontId="33" fillId="12" borderId="63" xfId="0" applyNumberFormat="1" applyFont="1" applyFill="1" applyBorder="1"/>
    <xf numFmtId="172" fontId="30" fillId="12" borderId="63" xfId="0" applyNumberFormat="1" applyFont="1" applyFill="1" applyBorder="1"/>
    <xf numFmtId="168" fontId="33" fillId="12" borderId="62" xfId="1" applyNumberFormat="1" applyFont="1" applyFill="1" applyBorder="1" applyProtection="1"/>
    <xf numFmtId="168" fontId="30" fillId="12" borderId="63" xfId="1" applyNumberFormat="1" applyFont="1" applyFill="1" applyBorder="1" applyProtection="1"/>
    <xf numFmtId="44" fontId="22" fillId="5" borderId="62" xfId="0" applyNumberFormat="1" applyFont="1" applyFill="1" applyBorder="1" applyAlignment="1">
      <alignment horizontal="center" vertical="center"/>
    </xf>
    <xf numFmtId="168" fontId="30" fillId="5" borderId="63" xfId="1" applyNumberFormat="1" applyFont="1" applyFill="1" applyBorder="1" applyProtection="1"/>
    <xf numFmtId="168" fontId="33" fillId="12" borderId="62" xfId="0" applyNumberFormat="1" applyFont="1" applyFill="1" applyBorder="1"/>
    <xf numFmtId="0" fontId="30" fillId="5" borderId="61" xfId="0" applyFont="1" applyFill="1" applyBorder="1" applyAlignment="1">
      <alignment wrapText="1"/>
    </xf>
    <xf numFmtId="168" fontId="30" fillId="12" borderId="62" xfId="1" applyNumberFormat="1" applyFont="1" applyFill="1" applyBorder="1" applyProtection="1"/>
    <xf numFmtId="0" fontId="30" fillId="5" borderId="70" xfId="0" applyFont="1" applyFill="1" applyBorder="1" applyAlignment="1">
      <alignment horizontal="center" vertical="center"/>
    </xf>
    <xf numFmtId="168" fontId="30" fillId="12" borderId="66" xfId="1" applyNumberFormat="1" applyFont="1" applyFill="1" applyBorder="1" applyProtection="1"/>
    <xf numFmtId="0" fontId="40" fillId="5" borderId="65" xfId="0" applyFont="1" applyFill="1" applyBorder="1"/>
    <xf numFmtId="166" fontId="30" fillId="12" borderId="62" xfId="0" applyNumberFormat="1" applyFont="1" applyFill="1" applyBorder="1"/>
    <xf numFmtId="166" fontId="30" fillId="12" borderId="63" xfId="0" applyNumberFormat="1" applyFont="1" applyFill="1" applyBorder="1"/>
    <xf numFmtId="166" fontId="33" fillId="12" borderId="62" xfId="0" applyNumberFormat="1" applyFont="1" applyFill="1" applyBorder="1"/>
    <xf numFmtId="9" fontId="36" fillId="12" borderId="62" xfId="0" applyNumberFormat="1" applyFont="1" applyFill="1" applyBorder="1"/>
    <xf numFmtId="9" fontId="36" fillId="12" borderId="63" xfId="0" applyNumberFormat="1" applyFont="1" applyFill="1" applyBorder="1"/>
    <xf numFmtId="166" fontId="33" fillId="12" borderId="59" xfId="0" applyNumberFormat="1" applyFont="1" applyFill="1" applyBorder="1"/>
    <xf numFmtId="166" fontId="33" fillId="12" borderId="60" xfId="0" applyNumberFormat="1" applyFont="1" applyFill="1" applyBorder="1"/>
    <xf numFmtId="0" fontId="30" fillId="5" borderId="62" xfId="0" applyFont="1" applyFill="1" applyBorder="1"/>
    <xf numFmtId="166" fontId="30" fillId="5" borderId="62" xfId="0" applyNumberFormat="1" applyFont="1" applyFill="1" applyBorder="1"/>
    <xf numFmtId="166" fontId="30" fillId="5" borderId="63" xfId="0" applyNumberFormat="1" applyFont="1" applyFill="1" applyBorder="1"/>
    <xf numFmtId="166" fontId="30" fillId="12" borderId="59" xfId="0" applyNumberFormat="1" applyFont="1" applyFill="1" applyBorder="1"/>
    <xf numFmtId="166" fontId="30" fillId="12" borderId="60" xfId="0" applyNumberFormat="1" applyFont="1" applyFill="1" applyBorder="1"/>
    <xf numFmtId="166" fontId="30" fillId="9" borderId="59" xfId="0" applyNumberFormat="1" applyFont="1" applyFill="1" applyBorder="1" applyProtection="1">
      <protection locked="0"/>
    </xf>
    <xf numFmtId="166" fontId="30" fillId="9" borderId="60" xfId="0" applyNumberFormat="1" applyFont="1" applyFill="1" applyBorder="1" applyProtection="1">
      <protection locked="0"/>
    </xf>
    <xf numFmtId="0" fontId="36" fillId="5" borderId="59" xfId="0" applyFont="1" applyFill="1" applyBorder="1" applyAlignment="1">
      <alignment horizontal="right"/>
    </xf>
    <xf numFmtId="0" fontId="30" fillId="5" borderId="59" xfId="0" applyFont="1" applyFill="1" applyBorder="1" applyProtection="1">
      <protection locked="0"/>
    </xf>
    <xf numFmtId="0" fontId="30" fillId="5" borderId="60" xfId="0" applyFont="1" applyFill="1" applyBorder="1" applyProtection="1">
      <protection locked="0"/>
    </xf>
    <xf numFmtId="1" fontId="33" fillId="9" borderId="62" xfId="5" applyNumberFormat="1" applyFont="1" applyFill="1" applyBorder="1" applyAlignment="1" applyProtection="1">
      <alignment horizontal="center"/>
      <protection locked="0"/>
    </xf>
    <xf numFmtId="9" fontId="33" fillId="12" borderId="63" xfId="5" applyFont="1" applyFill="1" applyBorder="1" applyProtection="1"/>
    <xf numFmtId="1" fontId="33" fillId="9" borderId="62" xfId="0" applyNumberFormat="1" applyFont="1" applyFill="1" applyBorder="1" applyAlignment="1" applyProtection="1">
      <alignment horizontal="center"/>
      <protection locked="0"/>
    </xf>
    <xf numFmtId="3" fontId="33" fillId="12" borderId="62" xfId="0" applyNumberFormat="1" applyFont="1" applyFill="1" applyBorder="1" applyAlignment="1">
      <alignment horizontal="right"/>
    </xf>
    <xf numFmtId="3" fontId="33" fillId="12" borderId="63" xfId="0" applyNumberFormat="1" applyFont="1" applyFill="1" applyBorder="1" applyAlignment="1">
      <alignment horizontal="right"/>
    </xf>
    <xf numFmtId="3" fontId="30" fillId="12" borderId="62" xfId="0" applyNumberFormat="1" applyFont="1" applyFill="1" applyBorder="1" applyAlignment="1">
      <alignment horizontal="right"/>
    </xf>
    <xf numFmtId="169" fontId="30" fillId="5" borderId="59" xfId="4" applyFont="1" applyFill="1" applyBorder="1" applyAlignment="1" applyProtection="1">
      <alignment horizontal="left"/>
    </xf>
    <xf numFmtId="170" fontId="30" fillId="5" borderId="60" xfId="11" applyNumberFormat="1" applyFont="1" applyFill="1" applyBorder="1" applyProtection="1"/>
    <xf numFmtId="0" fontId="18" fillId="0" borderId="0" xfId="8" applyFont="1"/>
    <xf numFmtId="9" fontId="17" fillId="15" borderId="75" xfId="0" applyNumberFormat="1" applyFont="1" applyFill="1" applyBorder="1" applyAlignment="1">
      <alignment horizontal="center" vertical="center"/>
    </xf>
    <xf numFmtId="9" fontId="39" fillId="9" borderId="63" xfId="0" applyNumberFormat="1" applyFont="1" applyFill="1" applyBorder="1" applyAlignment="1" applyProtection="1">
      <alignment horizontal="center"/>
      <protection locked="0"/>
    </xf>
    <xf numFmtId="0" fontId="84" fillId="2" borderId="0" xfId="0" applyFont="1" applyFill="1" applyAlignment="1">
      <alignment horizontal="right" vertical="center" wrapText="1"/>
    </xf>
    <xf numFmtId="0" fontId="30" fillId="5" borderId="43" xfId="0" applyFont="1" applyFill="1" applyBorder="1" applyAlignment="1">
      <alignment horizontal="left"/>
    </xf>
    <xf numFmtId="182" fontId="33" fillId="9" borderId="62" xfId="0" applyNumberFormat="1" applyFont="1" applyFill="1" applyBorder="1" applyAlignment="1" applyProtection="1">
      <alignment horizontal="right" vertical="center"/>
      <protection locked="0"/>
    </xf>
    <xf numFmtId="0" fontId="78" fillId="2" borderId="0" xfId="0" applyFont="1" applyFill="1" applyAlignment="1">
      <alignment horizontal="right" vertical="center"/>
    </xf>
    <xf numFmtId="0" fontId="86" fillId="5" borderId="0" xfId="2" applyFont="1" applyFill="1" applyBorder="1" applyAlignment="1" applyProtection="1">
      <alignment vertical="center"/>
    </xf>
    <xf numFmtId="0" fontId="87" fillId="16" borderId="60" xfId="8" applyFont="1" applyFill="1" applyBorder="1"/>
    <xf numFmtId="0" fontId="88" fillId="5" borderId="40" xfId="0" applyFont="1" applyFill="1" applyBorder="1"/>
    <xf numFmtId="0" fontId="89" fillId="0" borderId="0" xfId="12"/>
    <xf numFmtId="0" fontId="89" fillId="17" borderId="0" xfId="12" applyFill="1"/>
    <xf numFmtId="0" fontId="89" fillId="17" borderId="0" xfId="12" applyFill="1" applyAlignment="1">
      <alignment horizontal="center" vertical="center" wrapText="1"/>
    </xf>
    <xf numFmtId="0" fontId="89" fillId="9" borderId="0" xfId="12" applyFill="1" applyAlignment="1">
      <alignment horizontal="center" vertical="center" wrapText="1"/>
    </xf>
    <xf numFmtId="0" fontId="89" fillId="0" borderId="0" xfId="12" applyAlignment="1">
      <alignment horizontal="center" vertical="center" wrapText="1"/>
    </xf>
    <xf numFmtId="0" fontId="89" fillId="17" borderId="0" xfId="12" applyFill="1" applyAlignment="1">
      <alignment horizontal="center" vertical="center"/>
    </xf>
    <xf numFmtId="175" fontId="89" fillId="0" borderId="0" xfId="12" applyNumberFormat="1" applyAlignment="1">
      <alignment horizontal="center" vertical="center"/>
    </xf>
    <xf numFmtId="14" fontId="89" fillId="0" borderId="0" xfId="12" applyNumberFormat="1" applyAlignment="1">
      <alignment horizontal="center" vertical="center"/>
    </xf>
    <xf numFmtId="183" fontId="89" fillId="0" borderId="0" xfId="12" applyNumberFormat="1" applyAlignment="1">
      <alignment horizontal="right" vertical="center"/>
    </xf>
    <xf numFmtId="0" fontId="89" fillId="17" borderId="0" xfId="12" applyFill="1" applyAlignment="1">
      <alignment horizontal="right" vertical="center"/>
    </xf>
    <xf numFmtId="8" fontId="89" fillId="0" borderId="0" xfId="12" applyNumberFormat="1" applyAlignment="1">
      <alignment horizontal="right" vertical="center"/>
    </xf>
    <xf numFmtId="184" fontId="89" fillId="0" borderId="0" xfId="12" applyNumberFormat="1" applyAlignment="1">
      <alignment horizontal="right" vertical="center"/>
    </xf>
    <xf numFmtId="8" fontId="89" fillId="0" borderId="0" xfId="12" applyNumberFormat="1" applyAlignment="1">
      <alignment horizontal="center" vertical="center"/>
    </xf>
    <xf numFmtId="185" fontId="89" fillId="0" borderId="0" xfId="12" applyNumberFormat="1" applyAlignment="1">
      <alignment horizontal="center" vertical="center"/>
    </xf>
    <xf numFmtId="0" fontId="89" fillId="0" borderId="0" xfId="12" applyAlignment="1">
      <alignment horizontal="center" vertical="center"/>
    </xf>
    <xf numFmtId="184" fontId="89" fillId="0" borderId="0" xfId="12" applyNumberFormat="1" applyAlignment="1">
      <alignment horizontal="center" vertical="center"/>
    </xf>
    <xf numFmtId="10" fontId="89" fillId="0" borderId="0" xfId="12" applyNumberFormat="1" applyAlignment="1">
      <alignment horizontal="center" vertical="center"/>
    </xf>
    <xf numFmtId="0" fontId="90" fillId="0" borderId="0" xfId="0" applyFont="1"/>
    <xf numFmtId="0" fontId="58" fillId="5" borderId="0" xfId="0" applyFont="1" applyFill="1"/>
    <xf numFmtId="0" fontId="30" fillId="5" borderId="58" xfId="0" applyFont="1" applyFill="1" applyBorder="1"/>
    <xf numFmtId="0" fontId="30" fillId="5" borderId="59" xfId="0" applyFont="1" applyFill="1" applyBorder="1"/>
    <xf numFmtId="0" fontId="30" fillId="5" borderId="60" xfId="0" applyFont="1" applyFill="1" applyBorder="1" applyAlignment="1">
      <alignment horizontal="center"/>
    </xf>
    <xf numFmtId="0" fontId="74" fillId="5" borderId="63" xfId="0" applyFont="1" applyFill="1" applyBorder="1" applyAlignment="1">
      <alignment horizontal="center"/>
    </xf>
    <xf numFmtId="0" fontId="33" fillId="5" borderId="61" xfId="8" applyFont="1" applyFill="1" applyBorder="1"/>
    <xf numFmtId="0" fontId="33" fillId="5" borderId="62" xfId="8" applyFont="1" applyFill="1" applyBorder="1"/>
    <xf numFmtId="0" fontId="30" fillId="5" borderId="68" xfId="0" applyFont="1" applyFill="1" applyBorder="1"/>
    <xf numFmtId="0" fontId="30" fillId="5" borderId="69" xfId="0" applyFont="1" applyFill="1" applyBorder="1"/>
    <xf numFmtId="0" fontId="30" fillId="5" borderId="61" xfId="0" applyFont="1" applyFill="1" applyBorder="1"/>
    <xf numFmtId="0" fontId="30" fillId="5" borderId="62" xfId="0" applyFont="1" applyFill="1" applyBorder="1"/>
    <xf numFmtId="0" fontId="33" fillId="5" borderId="61" xfId="0" applyFont="1" applyFill="1" applyBorder="1"/>
    <xf numFmtId="0" fontId="33" fillId="5" borderId="62" xfId="0" applyFont="1" applyFill="1" applyBorder="1"/>
    <xf numFmtId="0" fontId="30" fillId="5" borderId="59" xfId="0" applyFont="1" applyFill="1" applyBorder="1" applyAlignment="1">
      <alignment horizontal="center"/>
    </xf>
    <xf numFmtId="0" fontId="33" fillId="5" borderId="71" xfId="0" applyFont="1" applyFill="1" applyBorder="1" applyAlignment="1">
      <alignment horizontal="left" vertical="top" wrapText="1" shrinkToFit="1"/>
    </xf>
    <xf numFmtId="0" fontId="33" fillId="5" borderId="64" xfId="0" applyFont="1" applyFill="1" applyBorder="1" applyAlignment="1">
      <alignment horizontal="left" vertical="top" wrapText="1" shrinkToFit="1"/>
    </xf>
    <xf numFmtId="0" fontId="33" fillId="5" borderId="72" xfId="0" applyFont="1" applyFill="1" applyBorder="1" applyAlignment="1">
      <alignment horizontal="left" vertical="top" wrapText="1" shrinkToFit="1"/>
    </xf>
    <xf numFmtId="0" fontId="33" fillId="5" borderId="61" xfId="0" applyFont="1" applyFill="1" applyBorder="1" applyAlignment="1">
      <alignment horizontal="left"/>
    </xf>
    <xf numFmtId="0" fontId="33" fillId="5" borderId="62" xfId="0" applyFont="1" applyFill="1" applyBorder="1" applyAlignment="1">
      <alignment horizontal="left"/>
    </xf>
    <xf numFmtId="0" fontId="30" fillId="5" borderId="58" xfId="0" applyFont="1" applyFill="1" applyBorder="1" applyAlignment="1">
      <alignment horizontal="left"/>
    </xf>
    <xf numFmtId="0" fontId="30" fillId="5" borderId="59" xfId="0" applyFont="1" applyFill="1" applyBorder="1" applyAlignment="1">
      <alignment horizontal="left"/>
    </xf>
    <xf numFmtId="0" fontId="33" fillId="5" borderId="61" xfId="0" applyFont="1" applyFill="1" applyBorder="1" applyAlignment="1">
      <alignment horizontal="left" wrapText="1"/>
    </xf>
    <xf numFmtId="0" fontId="33" fillId="5" borderId="62" xfId="0" applyFont="1" applyFill="1" applyBorder="1" applyAlignment="1">
      <alignment horizontal="left" wrapText="1"/>
    </xf>
    <xf numFmtId="3" fontId="39" fillId="12" borderId="62" xfId="0" applyNumberFormat="1" applyFont="1" applyFill="1" applyBorder="1"/>
    <xf numFmtId="3" fontId="39" fillId="12" borderId="63" xfId="0" applyNumberFormat="1" applyFont="1" applyFill="1" applyBorder="1"/>
    <xf numFmtId="3" fontId="39" fillId="9" borderId="64" xfId="0" applyNumberFormat="1" applyFont="1" applyFill="1" applyBorder="1" applyAlignment="1" applyProtection="1">
      <alignment horizontal="right"/>
      <protection locked="0"/>
    </xf>
    <xf numFmtId="3" fontId="41" fillId="12" borderId="64" xfId="0" applyNumberFormat="1" applyFont="1" applyFill="1" applyBorder="1" applyAlignment="1">
      <alignment horizontal="right"/>
    </xf>
    <xf numFmtId="3" fontId="41" fillId="12" borderId="59" xfId="0" applyNumberFormat="1" applyFont="1" applyFill="1" applyBorder="1" applyAlignment="1">
      <alignment horizontal="right"/>
    </xf>
    <xf numFmtId="3" fontId="41" fillId="12" borderId="60" xfId="0" applyNumberFormat="1" applyFont="1" applyFill="1" applyBorder="1" applyAlignment="1">
      <alignment horizontal="right"/>
    </xf>
    <xf numFmtId="3" fontId="41" fillId="12" borderId="62" xfId="0" applyNumberFormat="1" applyFont="1" applyFill="1" applyBorder="1" applyAlignment="1">
      <alignment horizontal="right"/>
    </xf>
    <xf numFmtId="3" fontId="41" fillId="12" borderId="63" xfId="0" applyNumberFormat="1" applyFont="1" applyFill="1" applyBorder="1" applyAlignment="1">
      <alignment horizontal="right"/>
    </xf>
    <xf numFmtId="3" fontId="41" fillId="9" borderId="64" xfId="0" applyNumberFormat="1" applyFont="1" applyFill="1" applyBorder="1" applyAlignment="1">
      <alignment horizontal="right"/>
    </xf>
    <xf numFmtId="3" fontId="41" fillId="12" borderId="64" xfId="0" applyNumberFormat="1" applyFont="1" applyFill="1" applyBorder="1"/>
    <xf numFmtId="3" fontId="41" fillId="12" borderId="59" xfId="0" applyNumberFormat="1" applyFont="1" applyFill="1" applyBorder="1"/>
    <xf numFmtId="3" fontId="41" fillId="12" borderId="60" xfId="0" applyNumberFormat="1" applyFont="1" applyFill="1" applyBorder="1"/>
    <xf numFmtId="3" fontId="41" fillId="12" borderId="62" xfId="0" applyNumberFormat="1" applyFont="1" applyFill="1" applyBorder="1"/>
    <xf numFmtId="3" fontId="41" fillId="12" borderId="63" xfId="0" applyNumberFormat="1" applyFont="1" applyFill="1" applyBorder="1"/>
    <xf numFmtId="3" fontId="39" fillId="12" borderId="64" xfId="0" applyNumberFormat="1" applyFont="1" applyFill="1" applyBorder="1"/>
    <xf numFmtId="0" fontId="33" fillId="9" borderId="61" xfId="0" applyFont="1" applyFill="1" applyBorder="1" applyProtection="1">
      <protection locked="0"/>
    </xf>
    <xf numFmtId="0" fontId="33" fillId="9" borderId="62" xfId="0" applyFont="1" applyFill="1" applyBorder="1" applyProtection="1">
      <protection locked="0"/>
    </xf>
    <xf numFmtId="0" fontId="30" fillId="5" borderId="58" xfId="10" applyFont="1" applyFill="1" applyBorder="1"/>
    <xf numFmtId="0" fontId="30" fillId="5" borderId="59" xfId="10" applyFont="1" applyFill="1" applyBorder="1"/>
    <xf numFmtId="0" fontId="30" fillId="5" borderId="61" xfId="10" applyFont="1" applyFill="1" applyBorder="1"/>
    <xf numFmtId="0" fontId="30" fillId="5" borderId="62" xfId="10" applyFont="1" applyFill="1" applyBorder="1"/>
    <xf numFmtId="0" fontId="79" fillId="5" borderId="58" xfId="10" applyFont="1" applyFill="1" applyBorder="1"/>
    <xf numFmtId="0" fontId="79" fillId="5" borderId="59" xfId="10" applyFont="1" applyFill="1" applyBorder="1"/>
    <xf numFmtId="0" fontId="79" fillId="5" borderId="60" xfId="10" applyFont="1" applyFill="1" applyBorder="1"/>
    <xf numFmtId="0" fontId="33" fillId="5" borderId="76" xfId="0" applyFont="1" applyFill="1" applyBorder="1"/>
    <xf numFmtId="0" fontId="33" fillId="5" borderId="58" xfId="0" applyFont="1" applyFill="1" applyBorder="1"/>
    <xf numFmtId="0" fontId="36" fillId="5" borderId="58" xfId="0" applyFont="1" applyFill="1" applyBorder="1"/>
    <xf numFmtId="0" fontId="36" fillId="5" borderId="59" xfId="0" applyFont="1" applyFill="1" applyBorder="1"/>
    <xf numFmtId="0" fontId="33" fillId="5" borderId="59" xfId="0" applyFont="1" applyFill="1" applyBorder="1"/>
    <xf numFmtId="0" fontId="30" fillId="5" borderId="61" xfId="0" applyFont="1" applyFill="1" applyBorder="1" applyAlignment="1">
      <alignment vertical="center"/>
    </xf>
    <xf numFmtId="0" fontId="30" fillId="5" borderId="62" xfId="0" applyFont="1" applyFill="1" applyBorder="1" applyAlignment="1">
      <alignment vertical="center"/>
    </xf>
    <xf numFmtId="0" fontId="36" fillId="5" borderId="61" xfId="0" applyFont="1" applyFill="1" applyBorder="1"/>
    <xf numFmtId="0" fontId="36" fillId="5" borderId="62" xfId="0" applyFont="1" applyFill="1" applyBorder="1"/>
    <xf numFmtId="0" fontId="30" fillId="5" borderId="58" xfId="0" applyFont="1" applyFill="1" applyBorder="1" applyAlignment="1">
      <alignment vertical="center"/>
    </xf>
    <xf numFmtId="0" fontId="30" fillId="5" borderId="59" xfId="0" applyFont="1" applyFill="1" applyBorder="1" applyAlignment="1">
      <alignment vertical="center"/>
    </xf>
    <xf numFmtId="0" fontId="33" fillId="5" borderId="61" xfId="0" applyFont="1" applyFill="1" applyBorder="1" applyAlignment="1">
      <alignment vertical="center"/>
    </xf>
    <xf numFmtId="0" fontId="0" fillId="0" borderId="62" xfId="0" applyBorder="1" applyAlignment="1">
      <alignment vertical="center"/>
    </xf>
    <xf numFmtId="0" fontId="33" fillId="5" borderId="62" xfId="0" applyFont="1" applyFill="1" applyBorder="1" applyAlignment="1">
      <alignment vertical="center"/>
    </xf>
    <xf numFmtId="0" fontId="71" fillId="0" borderId="0" xfId="0" applyFont="1"/>
    <xf numFmtId="0" fontId="0" fillId="5" borderId="62" xfId="0" applyFill="1" applyBorder="1" applyAlignment="1">
      <alignment vertical="center"/>
    </xf>
    <xf numFmtId="0" fontId="74" fillId="5" borderId="59" xfId="0" applyFont="1" applyFill="1" applyBorder="1" applyAlignment="1">
      <alignment vertical="center"/>
    </xf>
    <xf numFmtId="0" fontId="74" fillId="5" borderId="62" xfId="0" applyFont="1" applyFill="1" applyBorder="1" applyAlignment="1">
      <alignment vertical="center"/>
    </xf>
    <xf numFmtId="0" fontId="30" fillId="5" borderId="58" xfId="0" applyFont="1" applyFill="1" applyBorder="1" applyAlignment="1">
      <alignment vertical="center" wrapText="1"/>
    </xf>
    <xf numFmtId="0" fontId="30" fillId="5" borderId="59" xfId="0" applyFont="1" applyFill="1" applyBorder="1" applyAlignment="1">
      <alignment vertical="center" wrapText="1"/>
    </xf>
    <xf numFmtId="0" fontId="33" fillId="5" borderId="71" xfId="0" applyFont="1" applyFill="1" applyBorder="1" applyAlignment="1">
      <alignment vertical="top" wrapText="1"/>
    </xf>
    <xf numFmtId="0" fontId="33" fillId="5" borderId="64" xfId="0" applyFont="1" applyFill="1" applyBorder="1" applyAlignment="1">
      <alignment vertical="top" wrapText="1"/>
    </xf>
    <xf numFmtId="0" fontId="33" fillId="5" borderId="72" xfId="0" applyFont="1" applyFill="1" applyBorder="1" applyAlignment="1">
      <alignment vertical="top" wrapText="1"/>
    </xf>
    <xf numFmtId="0" fontId="33" fillId="0" borderId="62" xfId="0" applyFont="1" applyBorder="1"/>
    <xf numFmtId="0" fontId="30" fillId="5" borderId="58" xfId="0" applyFont="1" applyFill="1" applyBorder="1" applyAlignment="1">
      <alignment horizontal="left" vertical="center"/>
    </xf>
    <xf numFmtId="0" fontId="30" fillId="5" borderId="59" xfId="0" applyFont="1" applyFill="1" applyBorder="1" applyAlignment="1">
      <alignment horizontal="left" vertical="center"/>
    </xf>
    <xf numFmtId="0" fontId="30" fillId="5" borderId="61" xfId="0" applyFont="1" applyFill="1" applyBorder="1" applyAlignment="1">
      <alignment horizontal="left" vertical="center"/>
    </xf>
    <xf numFmtId="0" fontId="30" fillId="5" borderId="62" xfId="0" applyFont="1" applyFill="1" applyBorder="1" applyAlignment="1">
      <alignment horizontal="left" vertical="center"/>
    </xf>
    <xf numFmtId="0" fontId="72" fillId="5" borderId="0" xfId="0" applyFont="1" applyFill="1"/>
    <xf numFmtId="0" fontId="72" fillId="0" borderId="0" xfId="0" applyFont="1"/>
    <xf numFmtId="0" fontId="85" fillId="5" borderId="58" xfId="0" applyFont="1" applyFill="1" applyBorder="1"/>
    <xf numFmtId="0" fontId="85" fillId="5" borderId="59" xfId="0" applyFont="1" applyFill="1" applyBorder="1"/>
    <xf numFmtId="0" fontId="85" fillId="5" borderId="58" xfId="0" applyFont="1" applyFill="1" applyBorder="1" applyAlignment="1">
      <alignment horizontal="left"/>
    </xf>
    <xf numFmtId="0" fontId="85" fillId="5" borderId="59" xfId="0" applyFont="1" applyFill="1" applyBorder="1" applyAlignment="1">
      <alignment horizontal="left"/>
    </xf>
    <xf numFmtId="0" fontId="89" fillId="12" borderId="0" xfId="12" applyFill="1" applyAlignment="1">
      <alignment horizontal="center" vertical="center"/>
    </xf>
    <xf numFmtId="0" fontId="89" fillId="9" borderId="0" xfId="12" applyFill="1" applyAlignment="1">
      <alignment horizontal="center" vertical="center" wrapText="1"/>
    </xf>
    <xf numFmtId="0" fontId="66" fillId="0" borderId="3" xfId="8" applyFont="1" applyBorder="1" applyAlignment="1">
      <alignment horizontal="center"/>
    </xf>
    <xf numFmtId="0" fontId="73" fillId="8" borderId="3" xfId="0" applyFont="1" applyFill="1" applyBorder="1" applyAlignment="1">
      <alignment horizontal="center" vertical="center"/>
    </xf>
  </cellXfs>
  <cellStyles count="13">
    <cellStyle name="Euro" xfId="1" xr:uid="{00000000-0005-0000-0000-000000000000}"/>
    <cellStyle name="Hyperlink" xfId="2" builtinId="8"/>
    <cellStyle name="invulvak" xfId="3" xr:uid="{00000000-0005-0000-0000-000002000000}"/>
    <cellStyle name="Komma" xfId="4" builtinId="3"/>
    <cellStyle name="Procent" xfId="5" builtinId="5"/>
    <cellStyle name="Procent 2" xfId="6" xr:uid="{00000000-0005-0000-0000-000005000000}"/>
    <cellStyle name="resultaatvak" xfId="7" xr:uid="{00000000-0005-0000-0000-000006000000}"/>
    <cellStyle name="Standaard" xfId="0" builtinId="0"/>
    <cellStyle name="Standaard 2" xfId="8" xr:uid="{00000000-0005-0000-0000-000008000000}"/>
    <cellStyle name="Standaard 2 2" xfId="12" xr:uid="{00000000-0005-0000-0000-000009000000}"/>
    <cellStyle name="Standaard_Blad4" xfId="9" xr:uid="{00000000-0005-0000-0000-00000A000000}"/>
    <cellStyle name="tekstvak" xfId="10" xr:uid="{00000000-0005-0000-0000-00000B000000}"/>
    <cellStyle name="Valuta" xfId="11" builtinId="4"/>
  </cellStyles>
  <dxfs count="9">
    <dxf>
      <font>
        <color theme="0"/>
      </font>
      <fill>
        <patternFill>
          <fgColor theme="0"/>
        </patternFill>
      </fill>
      <border>
        <left/>
        <right/>
        <top/>
        <bottom/>
        <vertical/>
        <horizontal/>
      </border>
    </dxf>
    <dxf>
      <font>
        <color theme="0"/>
      </font>
      <fill>
        <patternFill>
          <fgColor theme="0"/>
        </patternFill>
      </fill>
      <border>
        <left/>
        <right/>
        <top/>
        <bottom/>
        <vertical/>
        <horizontal/>
      </border>
    </dxf>
    <dxf>
      <font>
        <color theme="0"/>
      </font>
      <fill>
        <patternFill>
          <fgColor theme="0"/>
        </patternFill>
      </fill>
      <border>
        <left/>
        <right/>
        <top/>
        <bottom/>
        <vertical/>
        <horizontal/>
      </border>
    </dxf>
    <dxf>
      <font>
        <color theme="0"/>
      </font>
      <fill>
        <patternFill>
          <fgColor theme="0"/>
        </patternFill>
      </fill>
      <border>
        <left/>
        <right/>
        <top/>
        <bottom/>
        <vertical/>
        <horizontal/>
      </border>
    </dxf>
    <dxf>
      <font>
        <color theme="0"/>
      </font>
      <fill>
        <patternFill>
          <fgColor theme="0"/>
        </patternFill>
      </fill>
      <border>
        <left/>
        <right/>
        <top/>
        <bottom/>
        <vertical/>
        <horizontal/>
      </border>
    </dxf>
    <dxf>
      <font>
        <color theme="0"/>
      </font>
      <fill>
        <patternFill>
          <fgColor theme="0"/>
        </patternFill>
      </fill>
      <border>
        <left/>
        <right/>
        <top/>
        <bottom/>
        <vertical/>
        <horizontal/>
      </border>
    </dxf>
    <dxf>
      <font>
        <color theme="0"/>
      </font>
      <fill>
        <patternFill>
          <fgColor theme="0"/>
        </patternFill>
      </fill>
      <border>
        <left/>
        <right/>
        <top/>
        <bottom/>
        <vertical/>
        <horizontal/>
      </border>
    </dxf>
    <dxf>
      <font>
        <color theme="0"/>
      </font>
      <fill>
        <patternFill>
          <fgColor theme="0"/>
        </patternFill>
      </fill>
      <border>
        <left/>
        <right/>
        <top/>
        <bottom/>
        <vertical/>
        <horizontal/>
      </border>
    </dxf>
    <dxf>
      <font>
        <color theme="0"/>
      </font>
      <fill>
        <patternFill>
          <fgColor theme="0"/>
        </patternFill>
      </fill>
      <border>
        <left/>
        <right/>
        <top/>
        <bottom/>
        <vertical/>
        <horizontal/>
      </border>
    </dxf>
  </dxfs>
  <tableStyles count="0" defaultTableStyle="TableStyleMedium9" defaultPivotStyle="PivotStyleLight16"/>
  <colors>
    <mruColors>
      <color rgb="FFFF6600"/>
      <color rgb="FF232572"/>
      <color rgb="FFC5C6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790575</xdr:colOff>
      <xdr:row>41</xdr:row>
      <xdr:rowOff>66675</xdr:rowOff>
    </xdr:from>
    <xdr:to>
      <xdr:col>1</xdr:col>
      <xdr:colOff>790575</xdr:colOff>
      <xdr:row>49</xdr:row>
      <xdr:rowOff>171450</xdr:rowOff>
    </xdr:to>
    <xdr:pic>
      <xdr:nvPicPr>
        <xdr:cNvPr id="42056" name="Picture 2">
          <a:extLst>
            <a:ext uri="{FF2B5EF4-FFF2-40B4-BE49-F238E27FC236}">
              <a16:creationId xmlns:a16="http://schemas.microsoft.com/office/drawing/2014/main" id="{00000000-0008-0000-0000-000048A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11458575"/>
          <a:ext cx="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914400</xdr:colOff>
      <xdr:row>21</xdr:row>
      <xdr:rowOff>133350</xdr:rowOff>
    </xdr:from>
    <xdr:to>
      <xdr:col>1</xdr:col>
      <xdr:colOff>914400</xdr:colOff>
      <xdr:row>25</xdr:row>
      <xdr:rowOff>57150</xdr:rowOff>
    </xdr:to>
    <xdr:pic>
      <xdr:nvPicPr>
        <xdr:cNvPr id="42057" name="Picture 6">
          <a:extLst>
            <a:ext uri="{FF2B5EF4-FFF2-40B4-BE49-F238E27FC236}">
              <a16:creationId xmlns:a16="http://schemas.microsoft.com/office/drawing/2014/main" id="{00000000-0008-0000-0000-000049A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3950" y="6905625"/>
          <a:ext cx="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1171575</xdr:colOff>
      <xdr:row>18</xdr:row>
      <xdr:rowOff>123825</xdr:rowOff>
    </xdr:from>
    <xdr:to>
      <xdr:col>1</xdr:col>
      <xdr:colOff>1171575</xdr:colOff>
      <xdr:row>18</xdr:row>
      <xdr:rowOff>161925</xdr:rowOff>
    </xdr:to>
    <xdr:pic>
      <xdr:nvPicPr>
        <xdr:cNvPr id="42058" name="Picture 8">
          <a:extLst>
            <a:ext uri="{FF2B5EF4-FFF2-40B4-BE49-F238E27FC236}">
              <a16:creationId xmlns:a16="http://schemas.microsoft.com/office/drawing/2014/main" id="{00000000-0008-0000-0000-00004AA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4800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1104900</xdr:colOff>
      <xdr:row>41</xdr:row>
      <xdr:rowOff>0</xdr:rowOff>
    </xdr:from>
    <xdr:to>
      <xdr:col>1</xdr:col>
      <xdr:colOff>6286500</xdr:colOff>
      <xdr:row>51</xdr:row>
      <xdr:rowOff>9525</xdr:rowOff>
    </xdr:to>
    <xdr:pic>
      <xdr:nvPicPr>
        <xdr:cNvPr id="42059" name="Picture 2">
          <a:extLst>
            <a:ext uri="{FF2B5EF4-FFF2-40B4-BE49-F238E27FC236}">
              <a16:creationId xmlns:a16="http://schemas.microsoft.com/office/drawing/2014/main" id="{00000000-0008-0000-0000-00004BA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11391900"/>
          <a:ext cx="51816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914400</xdr:colOff>
      <xdr:row>30</xdr:row>
      <xdr:rowOff>133350</xdr:rowOff>
    </xdr:from>
    <xdr:to>
      <xdr:col>1</xdr:col>
      <xdr:colOff>914400</xdr:colOff>
      <xdr:row>34</xdr:row>
      <xdr:rowOff>57150</xdr:rowOff>
    </xdr:to>
    <xdr:pic>
      <xdr:nvPicPr>
        <xdr:cNvPr id="42060" name="Picture 6">
          <a:extLst>
            <a:ext uri="{FF2B5EF4-FFF2-40B4-BE49-F238E27FC236}">
              <a16:creationId xmlns:a16="http://schemas.microsoft.com/office/drawing/2014/main" id="{00000000-0008-0000-0000-00004CA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3950" y="8953500"/>
          <a:ext cx="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4486275</xdr:colOff>
      <xdr:row>1</xdr:row>
      <xdr:rowOff>85725</xdr:rowOff>
    </xdr:from>
    <xdr:to>
      <xdr:col>3</xdr:col>
      <xdr:colOff>142875</xdr:colOff>
      <xdr:row>3</xdr:row>
      <xdr:rowOff>381000</xdr:rowOff>
    </xdr:to>
    <xdr:pic>
      <xdr:nvPicPr>
        <xdr:cNvPr id="42061" name="Afbeelding 1">
          <a:extLst>
            <a:ext uri="{FF2B5EF4-FFF2-40B4-BE49-F238E27FC236}">
              <a16:creationId xmlns:a16="http://schemas.microsoft.com/office/drawing/2014/main" id="{00000000-0008-0000-0000-00004DA4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95825" y="276225"/>
          <a:ext cx="36004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771525</xdr:colOff>
      <xdr:row>18</xdr:row>
      <xdr:rowOff>209550</xdr:rowOff>
    </xdr:from>
    <xdr:to>
      <xdr:col>1</xdr:col>
      <xdr:colOff>4991100</xdr:colOff>
      <xdr:row>18</xdr:row>
      <xdr:rowOff>1219200</xdr:rowOff>
    </xdr:to>
    <xdr:pic>
      <xdr:nvPicPr>
        <xdr:cNvPr id="42062" name="Afbeelding 11">
          <a:extLst>
            <a:ext uri="{FF2B5EF4-FFF2-40B4-BE49-F238E27FC236}">
              <a16:creationId xmlns:a16="http://schemas.microsoft.com/office/drawing/2014/main" id="{00000000-0008-0000-0000-00004EA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81075" y="4886325"/>
          <a:ext cx="42195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400050</xdr:colOff>
      <xdr:row>21</xdr:row>
      <xdr:rowOff>180975</xdr:rowOff>
    </xdr:from>
    <xdr:to>
      <xdr:col>1</xdr:col>
      <xdr:colOff>5886450</xdr:colOff>
      <xdr:row>27</xdr:row>
      <xdr:rowOff>114300</xdr:rowOff>
    </xdr:to>
    <xdr:pic>
      <xdr:nvPicPr>
        <xdr:cNvPr id="42063" name="Afbeelding 12">
          <a:extLst>
            <a:ext uri="{FF2B5EF4-FFF2-40B4-BE49-F238E27FC236}">
              <a16:creationId xmlns:a16="http://schemas.microsoft.com/office/drawing/2014/main" id="{00000000-0008-0000-0000-00004FA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6953250"/>
          <a:ext cx="54864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571500</xdr:colOff>
      <xdr:row>31</xdr:row>
      <xdr:rowOff>123825</xdr:rowOff>
    </xdr:from>
    <xdr:to>
      <xdr:col>1</xdr:col>
      <xdr:colOff>4276725</xdr:colOff>
      <xdr:row>35</xdr:row>
      <xdr:rowOff>133350</xdr:rowOff>
    </xdr:to>
    <xdr:pic>
      <xdr:nvPicPr>
        <xdr:cNvPr id="42064" name="Afbeelding 13">
          <a:extLst>
            <a:ext uri="{FF2B5EF4-FFF2-40B4-BE49-F238E27FC236}">
              <a16:creationId xmlns:a16="http://schemas.microsoft.com/office/drawing/2014/main" id="{00000000-0008-0000-0000-000050A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1050" y="9134475"/>
          <a:ext cx="3705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85725</xdr:colOff>
      <xdr:row>1</xdr:row>
      <xdr:rowOff>95250</xdr:rowOff>
    </xdr:from>
    <xdr:to>
      <xdr:col>6</xdr:col>
      <xdr:colOff>1085850</xdr:colOff>
      <xdr:row>4</xdr:row>
      <xdr:rowOff>171450</xdr:rowOff>
    </xdr:to>
    <xdr:pic>
      <xdr:nvPicPr>
        <xdr:cNvPr id="2226" name="Afbeelding 1">
          <a:extLst>
            <a:ext uri="{FF2B5EF4-FFF2-40B4-BE49-F238E27FC236}">
              <a16:creationId xmlns:a16="http://schemas.microsoft.com/office/drawing/2014/main" id="{00000000-0008-0000-0100-0000B2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8225" y="285750"/>
          <a:ext cx="36099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990600</xdr:colOff>
      <xdr:row>1</xdr:row>
      <xdr:rowOff>47625</xdr:rowOff>
    </xdr:from>
    <xdr:to>
      <xdr:col>9</xdr:col>
      <xdr:colOff>28575</xdr:colOff>
      <xdr:row>4</xdr:row>
      <xdr:rowOff>219075</xdr:rowOff>
    </xdr:to>
    <xdr:pic>
      <xdr:nvPicPr>
        <xdr:cNvPr id="7292" name="Afbeelding 1">
          <a:extLst>
            <a:ext uri="{FF2B5EF4-FFF2-40B4-BE49-F238E27FC236}">
              <a16:creationId xmlns:a16="http://schemas.microsoft.com/office/drawing/2014/main" id="{00000000-0008-0000-0200-00007C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00775" y="238125"/>
          <a:ext cx="31527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2524125</xdr:colOff>
      <xdr:row>1</xdr:row>
      <xdr:rowOff>19050</xdr:rowOff>
    </xdr:from>
    <xdr:to>
      <xdr:col>4</xdr:col>
      <xdr:colOff>514350</xdr:colOff>
      <xdr:row>5</xdr:row>
      <xdr:rowOff>123825</xdr:rowOff>
    </xdr:to>
    <xdr:pic>
      <xdr:nvPicPr>
        <xdr:cNvPr id="39055" name="Afbeelding 1">
          <a:extLst>
            <a:ext uri="{FF2B5EF4-FFF2-40B4-BE49-F238E27FC236}">
              <a16:creationId xmlns:a16="http://schemas.microsoft.com/office/drawing/2014/main" id="{00000000-0008-0000-0300-00008F9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209550"/>
          <a:ext cx="31432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2600325</xdr:colOff>
      <xdr:row>1</xdr:row>
      <xdr:rowOff>19050</xdr:rowOff>
    </xdr:from>
    <xdr:to>
      <xdr:col>9</xdr:col>
      <xdr:colOff>0</xdr:colOff>
      <xdr:row>5</xdr:row>
      <xdr:rowOff>123825</xdr:rowOff>
    </xdr:to>
    <xdr:pic>
      <xdr:nvPicPr>
        <xdr:cNvPr id="39056" name="Afbeelding 1">
          <a:extLst>
            <a:ext uri="{FF2B5EF4-FFF2-40B4-BE49-F238E27FC236}">
              <a16:creationId xmlns:a16="http://schemas.microsoft.com/office/drawing/2014/main" id="{00000000-0008-0000-0300-0000909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53500" y="209550"/>
          <a:ext cx="31527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2600325</xdr:colOff>
      <xdr:row>1</xdr:row>
      <xdr:rowOff>19050</xdr:rowOff>
    </xdr:from>
    <xdr:to>
      <xdr:col>13</xdr:col>
      <xdr:colOff>0</xdr:colOff>
      <xdr:row>5</xdr:row>
      <xdr:rowOff>123825</xdr:rowOff>
    </xdr:to>
    <xdr:pic>
      <xdr:nvPicPr>
        <xdr:cNvPr id="39057" name="Afbeelding 1">
          <a:extLst>
            <a:ext uri="{FF2B5EF4-FFF2-40B4-BE49-F238E27FC236}">
              <a16:creationId xmlns:a16="http://schemas.microsoft.com/office/drawing/2014/main" id="{00000000-0008-0000-0300-0000919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06600" y="209550"/>
          <a:ext cx="31527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276225</xdr:colOff>
      <xdr:row>2</xdr:row>
      <xdr:rowOff>180975</xdr:rowOff>
    </xdr:from>
    <xdr:to>
      <xdr:col>16</xdr:col>
      <xdr:colOff>724959</xdr:colOff>
      <xdr:row>7</xdr:row>
      <xdr:rowOff>133350</xdr:rowOff>
    </xdr:to>
    <xdr:pic>
      <xdr:nvPicPr>
        <xdr:cNvPr id="6371" name="Afbeelding 1">
          <a:extLst>
            <a:ext uri="{FF2B5EF4-FFF2-40B4-BE49-F238E27FC236}">
              <a16:creationId xmlns:a16="http://schemas.microsoft.com/office/drawing/2014/main" id="{00000000-0008-0000-0400-0000E3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86900" y="561975"/>
          <a:ext cx="36099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266700</xdr:colOff>
      <xdr:row>2</xdr:row>
      <xdr:rowOff>190500</xdr:rowOff>
    </xdr:from>
    <xdr:to>
      <xdr:col>17</xdr:col>
      <xdr:colOff>114300</xdr:colOff>
      <xdr:row>7</xdr:row>
      <xdr:rowOff>142875</xdr:rowOff>
    </xdr:to>
    <xdr:pic>
      <xdr:nvPicPr>
        <xdr:cNvPr id="28900" name="Afbeelding 1">
          <a:extLst>
            <a:ext uri="{FF2B5EF4-FFF2-40B4-BE49-F238E27FC236}">
              <a16:creationId xmlns:a16="http://schemas.microsoft.com/office/drawing/2014/main" id="{00000000-0008-0000-0500-0000E47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571500"/>
          <a:ext cx="36099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9525</xdr:colOff>
      <xdr:row>2</xdr:row>
      <xdr:rowOff>66675</xdr:rowOff>
    </xdr:from>
    <xdr:to>
      <xdr:col>16</xdr:col>
      <xdr:colOff>657225</xdr:colOff>
      <xdr:row>7</xdr:row>
      <xdr:rowOff>19050</xdr:rowOff>
    </xdr:to>
    <xdr:pic>
      <xdr:nvPicPr>
        <xdr:cNvPr id="4391" name="Afbeelding 1">
          <a:extLst>
            <a:ext uri="{FF2B5EF4-FFF2-40B4-BE49-F238E27FC236}">
              <a16:creationId xmlns:a16="http://schemas.microsoft.com/office/drawing/2014/main" id="{00000000-0008-0000-0600-0000271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447675"/>
          <a:ext cx="3619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371475</xdr:colOff>
      <xdr:row>1</xdr:row>
      <xdr:rowOff>152400</xdr:rowOff>
    </xdr:from>
    <xdr:to>
      <xdr:col>7</xdr:col>
      <xdr:colOff>1228725</xdr:colOff>
      <xdr:row>6</xdr:row>
      <xdr:rowOff>66675</xdr:rowOff>
    </xdr:to>
    <xdr:pic>
      <xdr:nvPicPr>
        <xdr:cNvPr id="3243" name="Afbeelding 1">
          <a:extLst>
            <a:ext uri="{FF2B5EF4-FFF2-40B4-BE49-F238E27FC236}">
              <a16:creationId xmlns:a16="http://schemas.microsoft.com/office/drawing/2014/main" id="{00000000-0008-0000-0700-0000AB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342900"/>
          <a:ext cx="36004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400050</xdr:colOff>
      <xdr:row>1</xdr:row>
      <xdr:rowOff>114300</xdr:rowOff>
    </xdr:from>
    <xdr:to>
      <xdr:col>14</xdr:col>
      <xdr:colOff>323850</xdr:colOff>
      <xdr:row>5</xdr:row>
      <xdr:rowOff>162984</xdr:rowOff>
    </xdr:to>
    <xdr:pic>
      <xdr:nvPicPr>
        <xdr:cNvPr id="13583" name="Afbeelding 1">
          <a:extLst>
            <a:ext uri="{FF2B5EF4-FFF2-40B4-BE49-F238E27FC236}">
              <a16:creationId xmlns:a16="http://schemas.microsoft.com/office/drawing/2014/main" id="{00000000-0008-0000-0800-00000F3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5575" y="304800"/>
          <a:ext cx="36195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qredits.nl/kredi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qredits.nl/ondernemerstools/ondernemingsplansjabloon/toelichting.html" TargetMode="External"/><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qredits.nl/ondernemerstools/ondernemingsplansjabloon/toelichting.html" TargetMode="Externa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www.qredits.nl/ondernemerstools/ondernemingsplansjabloon/toelichting.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qredits.nl/ondernemerstools/ondernemingsplansjabloon/toelichting.html" TargetMode="Externa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qredits.nl/ondernemerstools/ondernemingsplansjabloon/toelichting.html" TargetMode="External"/><Relationship Id="rId1" Type="http://schemas.openxmlformats.org/officeDocument/2006/relationships/printerSettings" Target="../printerSettings/printerSettings9.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qredits.nl/ondernemerstools/ondernemingsplansjabloon/toelichting.html" TargetMode="External"/><Relationship Id="rId1" Type="http://schemas.openxmlformats.org/officeDocument/2006/relationships/printerSettings" Target="../printerSettings/printerSettings11.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www.belastingdienst.nl/wps/wcm/connect/bldcontentnl/belastingdienst/zakelijk/winst/inkomstenbelasting/inkomstenbelasting_voor_ondernemers/ondernemersaftrek/ondernemersaftrek" TargetMode="External"/><Relationship Id="rId2" Type="http://schemas.openxmlformats.org/officeDocument/2006/relationships/hyperlink" Target="http://www.qredits.nl/ondernemerstools/ondernemingsplansjabloon/toelichting.html" TargetMode="External"/><Relationship Id="rId1" Type="http://schemas.openxmlformats.org/officeDocument/2006/relationships/printerSettings" Target="../printerSettings/printerSettings13.bin"/><Relationship Id="rId6" Type="http://schemas.openxmlformats.org/officeDocument/2006/relationships/vmlDrawing" Target="../drawings/vmlDrawing6.vml"/><Relationship Id="rId5" Type="http://schemas.openxmlformats.org/officeDocument/2006/relationships/drawing" Target="../drawings/drawing8.xml"/><Relationship Id="rId4"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6.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pageSetUpPr fitToPage="1"/>
  </sheetPr>
  <dimension ref="A1:F62"/>
  <sheetViews>
    <sheetView tabSelected="1" topLeftCell="A7" zoomScaleNormal="100" workbookViewId="0">
      <selection activeCell="B56" sqref="B56"/>
    </sheetView>
  </sheetViews>
  <sheetFormatPr defaultRowHeight="15" x14ac:dyDescent="0.2"/>
  <cols>
    <col min="1" max="1" width="3.140625" style="4" customWidth="1"/>
    <col min="2" max="2" width="115.85546875" style="4" customWidth="1"/>
    <col min="3" max="4" width="3.28515625" style="4" customWidth="1"/>
    <col min="5" max="16384" width="9.140625" style="4"/>
  </cols>
  <sheetData>
    <row r="1" spans="1:6" s="1" customFormat="1" x14ac:dyDescent="0.25">
      <c r="A1" s="4"/>
    </row>
    <row r="2" spans="1:6" s="1" customFormat="1" x14ac:dyDescent="0.25">
      <c r="A2" s="4"/>
    </row>
    <row r="3" spans="1:6" s="1" customFormat="1" ht="46.5" x14ac:dyDescent="0.7">
      <c r="A3" s="4"/>
      <c r="B3" s="144" t="s">
        <v>336</v>
      </c>
    </row>
    <row r="4" spans="1:6" ht="41.25" customHeight="1" x14ac:dyDescent="0.7">
      <c r="A4" s="19"/>
      <c r="B4" s="145">
        <v>2023</v>
      </c>
      <c r="C4" s="19"/>
      <c r="D4" s="19"/>
    </row>
    <row r="5" spans="1:6" ht="30" customHeight="1" x14ac:dyDescent="0.2">
      <c r="A5" s="19"/>
      <c r="B5" s="20" t="s">
        <v>123</v>
      </c>
      <c r="C5" s="21"/>
      <c r="D5" s="19"/>
    </row>
    <row r="6" spans="1:6" ht="16.5" customHeight="1" x14ac:dyDescent="0.2">
      <c r="A6" s="19"/>
      <c r="B6" s="22" t="s">
        <v>109</v>
      </c>
      <c r="C6" s="23"/>
      <c r="D6" s="19"/>
      <c r="F6" s="24"/>
    </row>
    <row r="7" spans="1:6" ht="14.25" customHeight="1" x14ac:dyDescent="0.2">
      <c r="A7" s="19"/>
      <c r="B7" s="22" t="s">
        <v>114</v>
      </c>
      <c r="C7" s="23"/>
      <c r="D7" s="19"/>
      <c r="F7" s="25"/>
    </row>
    <row r="8" spans="1:6" ht="14.25" customHeight="1" x14ac:dyDescent="0.2">
      <c r="A8" s="19"/>
      <c r="B8" s="22" t="s">
        <v>116</v>
      </c>
      <c r="C8" s="23"/>
      <c r="D8" s="19"/>
      <c r="F8" s="26"/>
    </row>
    <row r="9" spans="1:6" ht="14.25" customHeight="1" x14ac:dyDescent="0.2">
      <c r="A9" s="19"/>
      <c r="B9" s="22" t="s">
        <v>110</v>
      </c>
      <c r="C9" s="27"/>
      <c r="D9" s="19"/>
    </row>
    <row r="10" spans="1:6" ht="14.25" customHeight="1" x14ac:dyDescent="0.2">
      <c r="A10" s="19"/>
      <c r="B10" s="22" t="s">
        <v>111</v>
      </c>
      <c r="C10" s="23"/>
      <c r="D10" s="19"/>
    </row>
    <row r="11" spans="1:6" ht="14.25" customHeight="1" x14ac:dyDescent="0.2">
      <c r="A11" s="19"/>
      <c r="B11" s="22" t="s">
        <v>112</v>
      </c>
      <c r="C11" s="23"/>
      <c r="D11" s="19"/>
    </row>
    <row r="12" spans="1:6" ht="14.25" customHeight="1" x14ac:dyDescent="0.2">
      <c r="A12" s="19"/>
      <c r="B12" s="22" t="s">
        <v>113</v>
      </c>
      <c r="C12" s="27"/>
      <c r="D12" s="19"/>
    </row>
    <row r="13" spans="1:6" ht="14.25" customHeight="1" x14ac:dyDescent="0.2">
      <c r="A13" s="19"/>
      <c r="B13" s="22" t="s">
        <v>115</v>
      </c>
      <c r="C13" s="23"/>
      <c r="D13" s="19"/>
    </row>
    <row r="14" spans="1:6" ht="14.25" customHeight="1" x14ac:dyDescent="0.2">
      <c r="A14" s="19"/>
      <c r="B14" s="22"/>
      <c r="C14" s="23"/>
      <c r="D14" s="19"/>
    </row>
    <row r="15" spans="1:6" ht="30" customHeight="1" x14ac:dyDescent="0.2">
      <c r="A15" s="19"/>
      <c r="B15" s="28" t="s">
        <v>122</v>
      </c>
      <c r="C15" s="23"/>
      <c r="D15" s="19"/>
    </row>
    <row r="16" spans="1:6" x14ac:dyDescent="0.2">
      <c r="A16" s="19"/>
      <c r="B16" s="22" t="s">
        <v>117</v>
      </c>
      <c r="C16" s="19"/>
      <c r="D16" s="19"/>
    </row>
    <row r="17" spans="1:4" ht="30" x14ac:dyDescent="0.2">
      <c r="A17" s="19"/>
      <c r="B17" s="22" t="s">
        <v>118</v>
      </c>
      <c r="C17" s="21"/>
      <c r="D17" s="19"/>
    </row>
    <row r="18" spans="1:4" x14ac:dyDescent="0.2">
      <c r="A18" s="19"/>
      <c r="B18" s="146" t="s">
        <v>417</v>
      </c>
      <c r="C18" s="23"/>
      <c r="D18" s="19"/>
    </row>
    <row r="19" spans="1:4" ht="108.75" customHeight="1" x14ac:dyDescent="0.2">
      <c r="A19" s="19"/>
      <c r="B19" s="22"/>
      <c r="C19" s="29"/>
      <c r="D19" s="19"/>
    </row>
    <row r="20" spans="1:4" ht="26.25" x14ac:dyDescent="0.2">
      <c r="A20" s="19"/>
      <c r="B20" s="28" t="s">
        <v>121</v>
      </c>
      <c r="C20" s="29"/>
      <c r="D20" s="19"/>
    </row>
    <row r="21" spans="1:4" ht="30" x14ac:dyDescent="0.2">
      <c r="A21" s="19"/>
      <c r="B21" s="22" t="s">
        <v>119</v>
      </c>
      <c r="C21" s="29"/>
      <c r="D21" s="19"/>
    </row>
    <row r="22" spans="1:4" x14ac:dyDescent="0.2">
      <c r="A22" s="19"/>
      <c r="B22" s="22"/>
      <c r="C22" s="30"/>
      <c r="D22" s="19"/>
    </row>
    <row r="23" spans="1:4" x14ac:dyDescent="0.2">
      <c r="A23" s="19"/>
      <c r="B23" s="22"/>
      <c r="C23" s="29"/>
      <c r="D23" s="19"/>
    </row>
    <row r="24" spans="1:4" x14ac:dyDescent="0.2">
      <c r="A24" s="19"/>
      <c r="B24" s="22"/>
      <c r="C24" s="19"/>
      <c r="D24" s="19"/>
    </row>
    <row r="25" spans="1:4" ht="26.25" x14ac:dyDescent="0.2">
      <c r="A25" s="19"/>
      <c r="B25" s="31"/>
      <c r="C25" s="19"/>
      <c r="D25" s="19"/>
    </row>
    <row r="26" spans="1:4" x14ac:dyDescent="0.2">
      <c r="A26" s="19"/>
      <c r="B26" s="22"/>
      <c r="C26" s="21"/>
      <c r="D26" s="19"/>
    </row>
    <row r="27" spans="1:4" x14ac:dyDescent="0.2">
      <c r="A27" s="19"/>
      <c r="B27" s="22"/>
      <c r="C27" s="23"/>
      <c r="D27" s="19"/>
    </row>
    <row r="28" spans="1:4" x14ac:dyDescent="0.2">
      <c r="A28" s="19"/>
      <c r="B28" s="22"/>
      <c r="C28" s="23"/>
      <c r="D28" s="19"/>
    </row>
    <row r="29" spans="1:4" x14ac:dyDescent="0.2">
      <c r="A29" s="19"/>
      <c r="B29" s="22"/>
      <c r="C29" s="23"/>
      <c r="D29" s="19"/>
    </row>
    <row r="30" spans="1:4" ht="30" x14ac:dyDescent="0.2">
      <c r="A30" s="19"/>
      <c r="B30" s="22" t="s">
        <v>214</v>
      </c>
      <c r="C30" s="29"/>
      <c r="D30" s="19"/>
    </row>
    <row r="31" spans="1:4" x14ac:dyDescent="0.2">
      <c r="A31" s="19"/>
      <c r="B31" s="22"/>
      <c r="C31" s="30"/>
      <c r="D31" s="19"/>
    </row>
    <row r="32" spans="1:4" x14ac:dyDescent="0.2">
      <c r="A32" s="19"/>
      <c r="B32" s="22"/>
      <c r="C32" s="29"/>
      <c r="D32" s="19"/>
    </row>
    <row r="33" spans="1:4" x14ac:dyDescent="0.2">
      <c r="A33" s="19"/>
      <c r="B33" s="22"/>
      <c r="C33" s="19"/>
      <c r="D33" s="19"/>
    </row>
    <row r="34" spans="1:4" ht="26.25" x14ac:dyDescent="0.2">
      <c r="A34" s="19"/>
      <c r="B34" s="31"/>
      <c r="C34" s="19"/>
      <c r="D34" s="19"/>
    </row>
    <row r="35" spans="1:4" x14ac:dyDescent="0.2">
      <c r="A35" s="19"/>
      <c r="B35" s="22"/>
      <c r="C35" s="21"/>
      <c r="D35" s="19"/>
    </row>
    <row r="36" spans="1:4" x14ac:dyDescent="0.2">
      <c r="A36" s="19"/>
      <c r="B36" s="22"/>
      <c r="C36" s="23"/>
      <c r="D36" s="19"/>
    </row>
    <row r="37" spans="1:4" x14ac:dyDescent="0.2">
      <c r="A37" s="19"/>
      <c r="B37" s="22"/>
      <c r="C37" s="23"/>
      <c r="D37" s="19"/>
    </row>
    <row r="38" spans="1:4" x14ac:dyDescent="0.2">
      <c r="A38" s="19"/>
      <c r="B38" s="22"/>
      <c r="C38" s="23"/>
      <c r="D38" s="19"/>
    </row>
    <row r="39" spans="1:4" ht="26.25" x14ac:dyDescent="0.2">
      <c r="A39" s="19"/>
      <c r="B39" s="28" t="s">
        <v>120</v>
      </c>
      <c r="C39" s="27"/>
      <c r="D39" s="19"/>
    </row>
    <row r="40" spans="1:4" ht="30" x14ac:dyDescent="0.2">
      <c r="A40" s="19"/>
      <c r="B40" s="22" t="s">
        <v>150</v>
      </c>
      <c r="C40" s="23"/>
      <c r="D40" s="19"/>
    </row>
    <row r="41" spans="1:4" x14ac:dyDescent="0.2">
      <c r="A41" s="19"/>
      <c r="B41" s="19"/>
      <c r="C41" s="23"/>
      <c r="D41" s="19"/>
    </row>
    <row r="42" spans="1:4" x14ac:dyDescent="0.2">
      <c r="A42" s="19"/>
      <c r="B42" s="19"/>
      <c r="C42" s="27"/>
      <c r="D42" s="19"/>
    </row>
    <row r="43" spans="1:4" x14ac:dyDescent="0.2">
      <c r="A43" s="19"/>
      <c r="B43" s="19"/>
      <c r="C43" s="23"/>
      <c r="D43" s="19"/>
    </row>
    <row r="44" spans="1:4" x14ac:dyDescent="0.2">
      <c r="A44" s="19"/>
      <c r="B44" s="19"/>
      <c r="C44" s="23"/>
      <c r="D44" s="19"/>
    </row>
    <row r="45" spans="1:4" x14ac:dyDescent="0.2">
      <c r="A45" s="19"/>
      <c r="B45" s="19"/>
      <c r="C45" s="19"/>
      <c r="D45" s="19"/>
    </row>
    <row r="46" spans="1:4" x14ac:dyDescent="0.2">
      <c r="A46" s="19"/>
      <c r="B46" s="19"/>
      <c r="C46" s="21"/>
      <c r="D46" s="19"/>
    </row>
    <row r="47" spans="1:4" x14ac:dyDescent="0.2">
      <c r="A47" s="19"/>
      <c r="B47" s="19"/>
      <c r="C47" s="23"/>
      <c r="D47" s="19"/>
    </row>
    <row r="48" spans="1:4" x14ac:dyDescent="0.2">
      <c r="A48" s="19"/>
      <c r="B48" s="19"/>
      <c r="C48" s="29"/>
      <c r="D48" s="19"/>
    </row>
    <row r="49" spans="1:4" x14ac:dyDescent="0.2">
      <c r="A49" s="19"/>
      <c r="B49" s="19"/>
      <c r="C49" s="29"/>
      <c r="D49" s="19"/>
    </row>
    <row r="50" spans="1:4" x14ac:dyDescent="0.2">
      <c r="A50" s="19"/>
      <c r="B50" s="19"/>
      <c r="C50" s="30"/>
      <c r="D50" s="19"/>
    </row>
    <row r="51" spans="1:4" x14ac:dyDescent="0.2">
      <c r="A51" s="19"/>
      <c r="B51" s="19"/>
      <c r="C51" s="29"/>
      <c r="D51" s="19"/>
    </row>
    <row r="52" spans="1:4" x14ac:dyDescent="0.2">
      <c r="A52" s="19"/>
      <c r="B52" s="19"/>
      <c r="C52" s="29"/>
      <c r="D52" s="19"/>
    </row>
    <row r="53" spans="1:4" ht="26.25" x14ac:dyDescent="0.2">
      <c r="A53" s="19"/>
      <c r="B53" s="20" t="s">
        <v>124</v>
      </c>
      <c r="C53" s="29"/>
      <c r="D53" s="19"/>
    </row>
    <row r="54" spans="1:4" x14ac:dyDescent="0.2">
      <c r="A54" s="19"/>
      <c r="B54" s="19" t="s">
        <v>125</v>
      </c>
      <c r="C54" s="29"/>
      <c r="D54" s="19"/>
    </row>
    <row r="55" spans="1:4" x14ac:dyDescent="0.2">
      <c r="A55" s="19"/>
      <c r="B55" s="19" t="s">
        <v>127</v>
      </c>
      <c r="C55" s="29"/>
      <c r="D55" s="19"/>
    </row>
    <row r="56" spans="1:4" x14ac:dyDescent="0.2">
      <c r="A56" s="19"/>
      <c r="B56" s="410" t="s">
        <v>463</v>
      </c>
      <c r="C56" s="29"/>
      <c r="D56" s="19"/>
    </row>
    <row r="57" spans="1:4" ht="9" customHeight="1" x14ac:dyDescent="0.2">
      <c r="A57" s="19"/>
      <c r="B57" s="13"/>
      <c r="C57" s="29"/>
      <c r="D57" s="19"/>
    </row>
    <row r="58" spans="1:4" ht="10.5" customHeight="1" x14ac:dyDescent="0.2">
      <c r="A58" s="19"/>
      <c r="B58" s="80" t="s">
        <v>128</v>
      </c>
      <c r="C58" s="23"/>
      <c r="D58" s="19"/>
    </row>
    <row r="59" spans="1:4" ht="41.25" customHeight="1" x14ac:dyDescent="0.2">
      <c r="A59" s="19"/>
      <c r="B59" s="80"/>
      <c r="C59" s="23"/>
      <c r="D59" s="19"/>
    </row>
    <row r="60" spans="1:4" ht="36" x14ac:dyDescent="0.2">
      <c r="A60" s="19"/>
      <c r="B60" s="85" t="s">
        <v>135</v>
      </c>
      <c r="C60" s="23"/>
      <c r="D60" s="19"/>
    </row>
    <row r="61" spans="1:4" ht="7.5" customHeight="1" x14ac:dyDescent="0.2">
      <c r="A61" s="225" t="s">
        <v>507</v>
      </c>
      <c r="B61" s="19"/>
      <c r="D61" s="19"/>
    </row>
    <row r="62" spans="1:4" x14ac:dyDescent="0.2">
      <c r="A62" s="19"/>
      <c r="B62" s="19"/>
      <c r="C62" s="19"/>
      <c r="D62" s="19"/>
    </row>
  </sheetData>
  <sheetProtection algorithmName="SHA-512" hashValue="fDgWKVT0F87Nt2kJWC1nnZ8sh5S8VFQNA3prNsyJ26hTz2uol7/8wjau8s10Nvzp1EdtTg4q4ILzhh0US9pIsA==" saltValue="HCbInP+LcEeBjuk4o3QHlA==" spinCount="100000" sheet="1" selectLockedCells="1" selectUnlockedCells="1"/>
  <hyperlinks>
    <hyperlink ref="B56" r:id="rId1" xr:uid="{00000000-0004-0000-0000-000000000000}"/>
  </hyperlinks>
  <pageMargins left="0.7" right="0.7" top="0.75" bottom="0.75" header="0.3" footer="0.3"/>
  <pageSetup paperSize="9" scale="60"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6666"/>
  </sheetPr>
  <dimension ref="A1:AI31"/>
  <sheetViews>
    <sheetView zoomScale="85" zoomScaleNormal="85" workbookViewId="0">
      <selection activeCell="A27" sqref="A27"/>
    </sheetView>
  </sheetViews>
  <sheetFormatPr defaultRowHeight="15" x14ac:dyDescent="0.25"/>
  <cols>
    <col min="1" max="1" width="114.5703125" style="1" customWidth="1"/>
    <col min="2" max="35" width="9.140625" style="1"/>
    <col min="36" max="16384" width="9.140625" style="3"/>
  </cols>
  <sheetData>
    <row r="1" spans="1:1" ht="15.75" thickTop="1" x14ac:dyDescent="0.25">
      <c r="A1" s="138"/>
    </row>
    <row r="2" spans="1:1" x14ac:dyDescent="0.25">
      <c r="A2" s="135" t="s">
        <v>311</v>
      </c>
    </row>
    <row r="3" spans="1:1" ht="30" x14ac:dyDescent="0.25">
      <c r="A3" s="139" t="s">
        <v>312</v>
      </c>
    </row>
    <row r="4" spans="1:1" x14ac:dyDescent="0.25">
      <c r="A4" s="140" t="s">
        <v>313</v>
      </c>
    </row>
    <row r="5" spans="1:1" x14ac:dyDescent="0.25">
      <c r="A5" s="140" t="s">
        <v>314</v>
      </c>
    </row>
    <row r="6" spans="1:1" x14ac:dyDescent="0.25">
      <c r="A6" s="140" t="s">
        <v>315</v>
      </c>
    </row>
    <row r="7" spans="1:1" x14ac:dyDescent="0.25">
      <c r="A7" s="140" t="s">
        <v>316</v>
      </c>
    </row>
    <row r="8" spans="1:1" x14ac:dyDescent="0.25">
      <c r="A8" s="140" t="s">
        <v>317</v>
      </c>
    </row>
    <row r="9" spans="1:1" x14ac:dyDescent="0.25">
      <c r="A9" s="140" t="s">
        <v>318</v>
      </c>
    </row>
    <row r="10" spans="1:1" x14ac:dyDescent="0.25">
      <c r="A10" s="140" t="s">
        <v>319</v>
      </c>
    </row>
    <row r="11" spans="1:1" x14ac:dyDescent="0.25">
      <c r="A11" s="141"/>
    </row>
    <row r="12" spans="1:1" x14ac:dyDescent="0.25">
      <c r="A12" s="136" t="s">
        <v>320</v>
      </c>
    </row>
    <row r="13" spans="1:1" ht="75" x14ac:dyDescent="0.25">
      <c r="A13" s="139" t="s">
        <v>321</v>
      </c>
    </row>
    <row r="14" spans="1:1" x14ac:dyDescent="0.25">
      <c r="A14" s="141"/>
    </row>
    <row r="15" spans="1:1" x14ac:dyDescent="0.25">
      <c r="A15" s="136" t="s">
        <v>322</v>
      </c>
    </row>
    <row r="16" spans="1:1" ht="30" x14ac:dyDescent="0.25">
      <c r="A16" s="139" t="s">
        <v>323</v>
      </c>
    </row>
    <row r="17" spans="1:1" x14ac:dyDescent="0.25">
      <c r="A17" s="141"/>
    </row>
    <row r="18" spans="1:1" x14ac:dyDescent="0.25">
      <c r="A18" s="135" t="s">
        <v>247</v>
      </c>
    </row>
    <row r="19" spans="1:1" ht="60" x14ac:dyDescent="0.25">
      <c r="A19" s="139" t="s">
        <v>469</v>
      </c>
    </row>
    <row r="20" spans="1:1" x14ac:dyDescent="0.25">
      <c r="A20" s="141"/>
    </row>
    <row r="21" spans="1:1" x14ac:dyDescent="0.25">
      <c r="A21" s="135" t="s">
        <v>242</v>
      </c>
    </row>
    <row r="22" spans="1:1" ht="30" x14ac:dyDescent="0.25">
      <c r="A22" s="139" t="s">
        <v>324</v>
      </c>
    </row>
    <row r="23" spans="1:1" x14ac:dyDescent="0.25">
      <c r="A23" s="137"/>
    </row>
    <row r="24" spans="1:1" x14ac:dyDescent="0.25">
      <c r="A24" s="135" t="s">
        <v>325</v>
      </c>
    </row>
    <row r="25" spans="1:1" ht="60" x14ac:dyDescent="0.25">
      <c r="A25" s="139" t="s">
        <v>505</v>
      </c>
    </row>
    <row r="26" spans="1:1" x14ac:dyDescent="0.25">
      <c r="A26" s="412" t="s">
        <v>326</v>
      </c>
    </row>
    <row r="27" spans="1:1" ht="75" x14ac:dyDescent="0.25">
      <c r="A27" s="139" t="s">
        <v>327</v>
      </c>
    </row>
    <row r="28" spans="1:1" x14ac:dyDescent="0.25">
      <c r="A28" s="141"/>
    </row>
    <row r="29" spans="1:1" x14ac:dyDescent="0.25">
      <c r="A29" s="135" t="s">
        <v>328</v>
      </c>
    </row>
    <row r="30" spans="1:1" ht="75.75" thickBot="1" x14ac:dyDescent="0.3">
      <c r="A30" s="142" t="s">
        <v>506</v>
      </c>
    </row>
    <row r="31" spans="1:1" ht="15.75" thickTop="1" x14ac:dyDescent="0.25"/>
  </sheetData>
  <sheetProtection selectLockedCells="1" selectUn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369"/>
  <sheetViews>
    <sheetView zoomScaleNormal="100" workbookViewId="0">
      <pane xSplit="8" ySplit="8" topLeftCell="I9" activePane="bottomRight" state="frozen"/>
      <selection pane="topRight" activeCell="I1" sqref="I1"/>
      <selection pane="bottomLeft" activeCell="A9" sqref="A9"/>
      <selection pane="bottomRight" activeCell="A3" sqref="A3:W4"/>
    </sheetView>
  </sheetViews>
  <sheetFormatPr defaultColWidth="9.140625" defaultRowHeight="15" x14ac:dyDescent="0.25"/>
  <cols>
    <col min="1" max="1" width="1.7109375" style="414" customWidth="1"/>
    <col min="2" max="2" width="8" style="413" bestFit="1" customWidth="1"/>
    <col min="3" max="3" width="13.7109375" style="413" customWidth="1"/>
    <col min="4" max="4" width="1.7109375" style="414" customWidth="1"/>
    <col min="5" max="6" width="13.7109375" style="413" customWidth="1"/>
    <col min="7" max="7" width="10.7109375" style="413" bestFit="1" customWidth="1"/>
    <col min="8" max="8" width="1.7109375" style="414" customWidth="1"/>
    <col min="9" max="9" width="10.5703125" style="413" bestFit="1" customWidth="1"/>
    <col min="10" max="13" width="13.7109375" style="413" customWidth="1"/>
    <col min="14" max="14" width="1.7109375" style="414" customWidth="1"/>
    <col min="15" max="15" width="16.7109375" style="413" customWidth="1"/>
    <col min="16" max="17" width="13.7109375" style="413" customWidth="1"/>
    <col min="18" max="18" width="1.7109375" style="414" customWidth="1"/>
    <col min="19" max="19" width="10.5703125" style="413" bestFit="1" customWidth="1"/>
    <col min="20" max="22" width="13.7109375" style="413" customWidth="1"/>
    <col min="23" max="23" width="1.7109375" style="414" customWidth="1"/>
    <col min="24" max="24" width="10.5703125" style="413" bestFit="1" customWidth="1"/>
    <col min="25" max="25" width="12.5703125" style="413" bestFit="1" customWidth="1"/>
    <col min="26" max="16384" width="9.140625" style="413"/>
  </cols>
  <sheetData>
    <row r="1" spans="1:25" x14ac:dyDescent="0.25">
      <c r="A1" s="512" t="s">
        <v>479</v>
      </c>
      <c r="B1" s="512"/>
      <c r="C1" s="512"/>
      <c r="D1" s="512"/>
      <c r="E1" s="512"/>
      <c r="F1" s="512"/>
      <c r="G1" s="512"/>
      <c r="H1" s="512"/>
      <c r="I1" s="512"/>
      <c r="J1" s="512"/>
      <c r="K1" s="512"/>
      <c r="L1" s="512"/>
      <c r="M1" s="512"/>
      <c r="N1" s="512"/>
      <c r="O1" s="512"/>
      <c r="P1" s="512"/>
      <c r="Q1" s="512"/>
      <c r="R1" s="512"/>
      <c r="S1" s="512"/>
      <c r="T1" s="512"/>
      <c r="U1" s="512"/>
      <c r="V1" s="512"/>
      <c r="W1" s="512"/>
    </row>
    <row r="2" spans="1:25" x14ac:dyDescent="0.25">
      <c r="A2" s="512"/>
      <c r="B2" s="512"/>
      <c r="C2" s="512"/>
      <c r="D2" s="512"/>
      <c r="E2" s="512"/>
      <c r="F2" s="512"/>
      <c r="G2" s="512"/>
      <c r="H2" s="512"/>
      <c r="I2" s="512"/>
      <c r="J2" s="512"/>
      <c r="K2" s="512"/>
      <c r="L2" s="512"/>
      <c r="M2" s="512"/>
      <c r="N2" s="512"/>
      <c r="O2" s="512"/>
      <c r="P2" s="512"/>
      <c r="Q2" s="512"/>
      <c r="R2" s="512"/>
      <c r="S2" s="512"/>
      <c r="T2" s="512"/>
      <c r="U2" s="512"/>
      <c r="V2" s="512"/>
      <c r="W2" s="512"/>
    </row>
    <row r="3" spans="1:25" x14ac:dyDescent="0.25">
      <c r="A3" s="512" t="str">
        <f>IF('Qredits maandlasten'!$C$10="Annuïteit","ANNUÏTAIRE","")&amp;IF('Qredits maandlasten'!$C$10="Lineair","LINEAIRE","")&amp;" LEENLAAG"</f>
        <v>ANNUÏTAIRE LEENLAAG</v>
      </c>
      <c r="B3" s="512"/>
      <c r="C3" s="512"/>
      <c r="D3" s="512"/>
      <c r="E3" s="512"/>
      <c r="F3" s="512"/>
      <c r="G3" s="512"/>
      <c r="H3" s="512"/>
      <c r="I3" s="512"/>
      <c r="J3" s="512"/>
      <c r="K3" s="512"/>
      <c r="L3" s="512"/>
      <c r="M3" s="512"/>
      <c r="N3" s="512"/>
      <c r="O3" s="512"/>
      <c r="P3" s="512"/>
      <c r="Q3" s="512"/>
      <c r="R3" s="512"/>
      <c r="S3" s="512"/>
      <c r="T3" s="512"/>
      <c r="U3" s="512"/>
      <c r="V3" s="512"/>
      <c r="W3" s="512"/>
    </row>
    <row r="4" spans="1:25" x14ac:dyDescent="0.25">
      <c r="A4" s="512"/>
      <c r="B4" s="512"/>
      <c r="C4" s="512"/>
      <c r="D4" s="512"/>
      <c r="E4" s="512"/>
      <c r="F4" s="512"/>
      <c r="G4" s="512"/>
      <c r="H4" s="512"/>
      <c r="I4" s="512"/>
      <c r="J4" s="512"/>
      <c r="K4" s="512"/>
      <c r="L4" s="512"/>
      <c r="M4" s="512"/>
      <c r="N4" s="512"/>
      <c r="O4" s="512"/>
      <c r="P4" s="512"/>
      <c r="Q4" s="512"/>
      <c r="R4" s="512"/>
      <c r="S4" s="512"/>
      <c r="T4" s="512"/>
      <c r="U4" s="512"/>
      <c r="V4" s="512"/>
      <c r="W4" s="512"/>
    </row>
    <row r="5" spans="1:25" ht="7.5" customHeight="1" x14ac:dyDescent="0.25">
      <c r="B5" s="414"/>
      <c r="C5" s="414"/>
      <c r="E5" s="414"/>
      <c r="F5" s="414"/>
      <c r="G5" s="414"/>
      <c r="I5" s="414"/>
      <c r="J5" s="414"/>
      <c r="K5" s="414"/>
      <c r="L5" s="414"/>
      <c r="M5" s="414"/>
      <c r="O5" s="414"/>
      <c r="P5" s="414"/>
      <c r="Q5" s="414"/>
      <c r="S5" s="414"/>
      <c r="T5" s="414"/>
      <c r="U5" s="414"/>
      <c r="V5" s="414"/>
    </row>
    <row r="6" spans="1:25" ht="15" customHeight="1" x14ac:dyDescent="0.25">
      <c r="B6" s="513" t="s">
        <v>480</v>
      </c>
      <c r="C6" s="513"/>
      <c r="E6" s="513" t="s">
        <v>481</v>
      </c>
      <c r="F6" s="513"/>
      <c r="G6" s="513"/>
      <c r="I6" s="513" t="s">
        <v>482</v>
      </c>
      <c r="J6" s="513"/>
      <c r="K6" s="513"/>
      <c r="L6" s="513"/>
      <c r="M6" s="513"/>
      <c r="O6" s="513" t="s">
        <v>483</v>
      </c>
      <c r="P6" s="513"/>
      <c r="Q6" s="513"/>
      <c r="S6" s="513" t="s">
        <v>484</v>
      </c>
      <c r="T6" s="513"/>
      <c r="U6" s="513"/>
      <c r="V6" s="513"/>
    </row>
    <row r="7" spans="1:25" s="417" customFormat="1" ht="30" customHeight="1" x14ac:dyDescent="0.2">
      <c r="A7" s="415"/>
      <c r="B7" s="416" t="s">
        <v>485</v>
      </c>
      <c r="C7" s="416" t="s">
        <v>486</v>
      </c>
      <c r="D7" s="415"/>
      <c r="E7" s="416" t="s">
        <v>487</v>
      </c>
      <c r="F7" s="416" t="s">
        <v>488</v>
      </c>
      <c r="G7" s="416" t="s">
        <v>489</v>
      </c>
      <c r="H7" s="415"/>
      <c r="I7" s="416" t="s">
        <v>490</v>
      </c>
      <c r="J7" s="416" t="s">
        <v>482</v>
      </c>
      <c r="K7" s="416" t="s">
        <v>483</v>
      </c>
      <c r="L7" s="416" t="s">
        <v>491</v>
      </c>
      <c r="M7" s="416" t="s">
        <v>492</v>
      </c>
      <c r="N7" s="415"/>
      <c r="O7" s="416" t="s">
        <v>493</v>
      </c>
      <c r="P7" s="416" t="s">
        <v>494</v>
      </c>
      <c r="Q7" s="416" t="s">
        <v>495</v>
      </c>
      <c r="R7" s="415"/>
      <c r="S7" s="416" t="s">
        <v>490</v>
      </c>
      <c r="T7" s="416" t="s">
        <v>482</v>
      </c>
      <c r="U7" s="416" t="s">
        <v>491</v>
      </c>
      <c r="V7" s="416" t="s">
        <v>483</v>
      </c>
      <c r="W7" s="415"/>
    </row>
    <row r="8" spans="1:25" ht="7.5" customHeight="1" x14ac:dyDescent="0.25">
      <c r="B8" s="414"/>
      <c r="C8" s="414"/>
      <c r="E8" s="414"/>
      <c r="F8" s="414"/>
      <c r="G8" s="414"/>
      <c r="I8" s="414"/>
      <c r="J8" s="414"/>
      <c r="K8" s="414"/>
      <c r="L8" s="414"/>
      <c r="M8" s="414"/>
      <c r="O8" s="414"/>
      <c r="P8" s="414"/>
      <c r="Q8" s="414"/>
      <c r="S8" s="414"/>
      <c r="T8" s="414"/>
      <c r="U8" s="414"/>
      <c r="V8" s="414"/>
    </row>
    <row r="9" spans="1:25" s="427" customFormat="1" ht="15" customHeight="1" x14ac:dyDescent="0.2">
      <c r="A9" s="418"/>
      <c r="B9" s="419">
        <v>0</v>
      </c>
      <c r="C9" s="420">
        <f ca="1">'Investering &amp; Financiering'!$E$51</f>
        <v>45166</v>
      </c>
      <c r="D9" s="418"/>
      <c r="E9" s="420">
        <f ca="1">C9</f>
        <v>45166</v>
      </c>
      <c r="F9" s="420">
        <f ca="1">E9</f>
        <v>45166</v>
      </c>
      <c r="G9" s="421">
        <v>0</v>
      </c>
      <c r="H9" s="422"/>
      <c r="I9" s="423">
        <f>'Qredits maandlasten'!$C$4</f>
        <v>0</v>
      </c>
      <c r="J9" s="423">
        <v>0</v>
      </c>
      <c r="K9" s="423">
        <v>0</v>
      </c>
      <c r="L9" s="423">
        <f>I9</f>
        <v>0</v>
      </c>
      <c r="M9" s="423">
        <f>L9-'Qredits maandlasten'!$C$5</f>
        <v>0</v>
      </c>
      <c r="N9" s="422"/>
      <c r="O9" s="424">
        <f>'Qredits maandlasten'!$C$8/12</f>
        <v>8.1250000000000003E-3</v>
      </c>
      <c r="P9" s="424">
        <f>'Qredits maandlasten'!$C$8/12*(POWER(1+'Qredits maandlasten'!$C$8/12,$B9-1+1))</f>
        <v>8.1250000000000003E-3</v>
      </c>
      <c r="Q9" s="424">
        <v>0</v>
      </c>
      <c r="R9" s="422"/>
      <c r="S9" s="423">
        <f>'Qredits maandlasten'!$C$4</f>
        <v>0</v>
      </c>
      <c r="T9" s="423">
        <f>J9/(POWER(1+'Qredits maandlasten'!$C$8/12,$B9-1+1))</f>
        <v>0</v>
      </c>
      <c r="U9" s="425">
        <f>T9+V9</f>
        <v>0</v>
      </c>
      <c r="V9" s="423">
        <f>K9/(POWER(1+'Qredits maandlasten'!$C$8/12,$B9-1+1))</f>
        <v>0</v>
      </c>
      <c r="W9" s="422"/>
      <c r="X9" s="425"/>
      <c r="Y9" s="426"/>
    </row>
    <row r="10" spans="1:25" s="427" customFormat="1" x14ac:dyDescent="0.2">
      <c r="A10" s="418"/>
      <c r="B10" s="419">
        <f>IF($B9="","",IF($B9+1&gt;'Qredits maandlasten'!$C$7,"",Schema!B9+1))</f>
        <v>1</v>
      </c>
      <c r="C10" s="420">
        <f ca="1">IF($B9="","",IF($B9+1&gt;'Qredits maandlasten'!$C$7,"",EOMONTH(C9,1)+1))</f>
        <v>45200</v>
      </c>
      <c r="D10" s="418"/>
      <c r="E10" s="420">
        <f ca="1">IF($B9="","",IF($B9+1&gt;'Qredits maandlasten'!$C$7,"",E9))</f>
        <v>45166</v>
      </c>
      <c r="F10" s="420">
        <f ca="1">IF($B9="","",IF($B9+1&gt;'Qredits maandlasten'!$C$7,"",EOMONTH(C10,-1)))</f>
        <v>45199</v>
      </c>
      <c r="G10" s="421">
        <f ca="1">IF($B9="","",IF($B9+1&gt;'Qredits maandlasten'!$C$7,"",(_xlfn.DAYS(F10,E10)+1)/DAY(F10)))</f>
        <v>1.1333333333333333</v>
      </c>
      <c r="H10" s="422"/>
      <c r="I10" s="423">
        <f>IF($B9="","",IF($B9+1&gt;'Qredits maandlasten'!$C$7,"",I9-J9))</f>
        <v>0</v>
      </c>
      <c r="J10" s="423">
        <f>IF($B9="","",IF($B9+1&gt;'Qredits maandlasten'!$C$7,"",IF(B9&lt;'Investering &amp; Financiering'!$E$52-1,0,IF('Qredits maandlasten'!$C$10="Lineair",'Qredits maandlasten'!$H$4,IF('Qredits maandlasten'!$C$10="Annuïteit",IFERROR('Qredits maandlasten'!$H$4-K10,0),0)))))</f>
        <v>0</v>
      </c>
      <c r="K10" s="423">
        <f ca="1">IF($B9="","",IF($B9+1&gt;'Qredits maandlasten'!$C$7,"",G10*I10*'Qredits maandlasten'!$C$8/12))</f>
        <v>0</v>
      </c>
      <c r="L10" s="423">
        <f ca="1">IF(S10="","",-K10-J10)</f>
        <v>0</v>
      </c>
      <c r="M10" s="423">
        <f t="shared" ref="M10:M73" ca="1" si="0">IF(S10="","",-K10-J10)</f>
        <v>0</v>
      </c>
      <c r="N10" s="422"/>
      <c r="O10" s="424">
        <f>IF($B10="","",'Qredits maandlasten'!$C$8/12)</f>
        <v>8.1250000000000003E-3</v>
      </c>
      <c r="P10" s="424">
        <f>IF($B10="","",'Qredits maandlasten'!$C$8/12*(POWER(1+'Qredits maandlasten'!$C$8/12,$B10-1+1)))</f>
        <v>8.1910156249999991E-3</v>
      </c>
      <c r="Q10" s="424">
        <f>IF($B10="","",IFERROR(J10/T10-1,0))</f>
        <v>0</v>
      </c>
      <c r="R10" s="422"/>
      <c r="S10" s="423">
        <f t="shared" ref="S10:S73" si="1">IF(B10="","",IF(S9-T9&lt;0,"",S9-T9))</f>
        <v>0</v>
      </c>
      <c r="T10" s="423">
        <f>IF(S10="","",J10/(POWER(1+'Qredits maandlasten'!$C$8/12,$B10-1+1)))</f>
        <v>0</v>
      </c>
      <c r="U10" s="425">
        <f ca="1">IF(S10="","",T10+V10)</f>
        <v>0</v>
      </c>
      <c r="V10" s="423">
        <f ca="1">IF($B10="","",K10/(POWER(1+'Qredits maandlasten'!$C$8/12,$B10-1+1)))</f>
        <v>0</v>
      </c>
      <c r="W10" s="422"/>
      <c r="X10" s="425"/>
      <c r="Y10" s="426"/>
    </row>
    <row r="11" spans="1:25" s="427" customFormat="1" x14ac:dyDescent="0.2">
      <c r="A11" s="418"/>
      <c r="B11" s="419">
        <f>IF($B10="","",IF($B10+1&gt;'Qredits maandlasten'!$C$7,"",Schema!B10+1))</f>
        <v>2</v>
      </c>
      <c r="C11" s="420">
        <f ca="1">IF($B10="","",IF($B10+1&gt;'Qredits maandlasten'!$C$7,"",EOMONTH(C10,0)+1))</f>
        <v>45231</v>
      </c>
      <c r="D11" s="418"/>
      <c r="E11" s="420">
        <f ca="1">IF($B10="","",IF($B10+1&gt;'Qredits maandlasten'!$C$7,"",F10+1))</f>
        <v>45200</v>
      </c>
      <c r="F11" s="420">
        <f ca="1">IF($B10="","",IF($B10+1&gt;'Qredits maandlasten'!$C$7,"",EOMONTH(C11,-1)))</f>
        <v>45230</v>
      </c>
      <c r="G11" s="421">
        <f ca="1">IF($B10="","",IF($B10+1&gt;'Qredits maandlasten'!$C$7,"",(_xlfn.DAYS(F11,E11)+1)/DAY(F11)))</f>
        <v>1</v>
      </c>
      <c r="H11" s="422"/>
      <c r="I11" s="423">
        <f>IF($B10="","",IF($B10+1&gt;'Qredits maandlasten'!$C$7,"",I10-J10))</f>
        <v>0</v>
      </c>
      <c r="J11" s="423">
        <f>IF($B10="","",IF($B10+1&gt;'Qredits maandlasten'!$C$7,"",IF(B10&lt;'Investering &amp; Financiering'!$E$52-1,0,IF('Qredits maandlasten'!$C$10="Lineair",'Qredits maandlasten'!$H$4,IF('Qredits maandlasten'!$C$10="Annuïteit",IFERROR('Qredits maandlasten'!$H$4-K11,0),0)))))</f>
        <v>0</v>
      </c>
      <c r="K11" s="423">
        <f ca="1">IF($B10="","",IF($B10+1&gt;'Qredits maandlasten'!$C$7,"",G11*I11*'Qredits maandlasten'!$C$8/12))</f>
        <v>0</v>
      </c>
      <c r="L11" s="423">
        <f t="shared" ref="L11:L74" ca="1" si="2">IF(S11="","",-K11-J11)</f>
        <v>0</v>
      </c>
      <c r="M11" s="423">
        <f t="shared" ca="1" si="0"/>
        <v>0</v>
      </c>
      <c r="N11" s="422"/>
      <c r="O11" s="424">
        <f>IF($B11="","",'Qredits maandlasten'!$C$8/12)</f>
        <v>8.1250000000000003E-3</v>
      </c>
      <c r="P11" s="424">
        <f>IF($B11="","",'Qredits maandlasten'!$C$8/12*(POWER(1+'Qredits maandlasten'!$C$8/12,$B11-1+1)))</f>
        <v>8.2575676269531252E-3</v>
      </c>
      <c r="Q11" s="424">
        <f t="shared" ref="Q11:Q74" si="3">IF($B11="","",IFERROR(J11/T11-1,0))</f>
        <v>0</v>
      </c>
      <c r="R11" s="422"/>
      <c r="S11" s="423">
        <f t="shared" si="1"/>
        <v>0</v>
      </c>
      <c r="T11" s="423">
        <f>IF(S11="","",J11/(POWER(1+'Qredits maandlasten'!$C$8/12,$B11-1+1)))</f>
        <v>0</v>
      </c>
      <c r="U11" s="425">
        <f t="shared" ref="U11:U74" ca="1" si="4">IF(S11="","",T11+V11)</f>
        <v>0</v>
      </c>
      <c r="V11" s="423">
        <f ca="1">IF($B11="","",K11/(POWER(1+'Qredits maandlasten'!$C$8/12,$B11-1+1)))</f>
        <v>0</v>
      </c>
      <c r="W11" s="422"/>
      <c r="X11" s="425"/>
      <c r="Y11" s="426"/>
    </row>
    <row r="12" spans="1:25" s="427" customFormat="1" x14ac:dyDescent="0.2">
      <c r="A12" s="418"/>
      <c r="B12" s="419">
        <f>IF($B11="","",IF($B11+1&gt;'Qredits maandlasten'!$C$7,"",Schema!B11+1))</f>
        <v>3</v>
      </c>
      <c r="C12" s="420">
        <f ca="1">IF($B11="","",IF($B11+1&gt;'Qredits maandlasten'!$C$7,"",EOMONTH(C11,0)+1))</f>
        <v>45261</v>
      </c>
      <c r="D12" s="418"/>
      <c r="E12" s="420">
        <f ca="1">IF($B11="","",IF($B11+1&gt;'Qredits maandlasten'!$C$7,"",F11+1))</f>
        <v>45231</v>
      </c>
      <c r="F12" s="420">
        <f ca="1">IF($B11="","",IF($B11+1&gt;'Qredits maandlasten'!$C$7,"",EOMONTH(C12,-1)))</f>
        <v>45260</v>
      </c>
      <c r="G12" s="421">
        <f ca="1">IF($B11="","",IF($B11+1&gt;'Qredits maandlasten'!$C$7,"",(_xlfn.DAYS(F12,E12)+1)/DAY(F12)))</f>
        <v>1</v>
      </c>
      <c r="H12" s="422"/>
      <c r="I12" s="423">
        <f>IF($B11="","",IF($B11+1&gt;'Qredits maandlasten'!$C$7,"",I11-J11))</f>
        <v>0</v>
      </c>
      <c r="J12" s="423">
        <f ca="1">IF($B11="","",IF($B11+1&gt;'Qredits maandlasten'!$C$7,"",IF(B11&lt;'Investering &amp; Financiering'!$E$52-1,0,IF('Qredits maandlasten'!$C$10="Lineair",'Qredits maandlasten'!$H$4,IF('Qredits maandlasten'!$C$10="Annuïteit",IFERROR('Qredits maandlasten'!$H$4-K12,0),0)))))</f>
        <v>0</v>
      </c>
      <c r="K12" s="423">
        <f ca="1">IF($B11="","",IF($B11+1&gt;'Qredits maandlasten'!$C$7,"",G12*I12*'Qredits maandlasten'!$C$8/12))</f>
        <v>0</v>
      </c>
      <c r="L12" s="423">
        <f t="shared" ca="1" si="2"/>
        <v>0</v>
      </c>
      <c r="M12" s="423">
        <f t="shared" ca="1" si="0"/>
        <v>0</v>
      </c>
      <c r="N12" s="422"/>
      <c r="O12" s="424">
        <f>IF($B12="","",'Qredits maandlasten'!$C$8/12)</f>
        <v>8.1250000000000003E-3</v>
      </c>
      <c r="P12" s="424">
        <f>IF($B12="","",'Qredits maandlasten'!$C$8/12*(POWER(1+'Qredits maandlasten'!$C$8/12,$B12-1+1)))</f>
        <v>8.3246603639221175E-3</v>
      </c>
      <c r="Q12" s="424">
        <f t="shared" ca="1" si="3"/>
        <v>0</v>
      </c>
      <c r="R12" s="422"/>
      <c r="S12" s="423">
        <f t="shared" si="1"/>
        <v>0</v>
      </c>
      <c r="T12" s="423">
        <f ca="1">IF(S12="","",J12/(POWER(1+'Qredits maandlasten'!$C$8/12,$B12-1+1)))</f>
        <v>0</v>
      </c>
      <c r="U12" s="425">
        <f t="shared" ca="1" si="4"/>
        <v>0</v>
      </c>
      <c r="V12" s="423">
        <f ca="1">IF($B12="","",K12/(POWER(1+'Qredits maandlasten'!$C$8/12,$B12-1+1)))</f>
        <v>0</v>
      </c>
      <c r="W12" s="422"/>
      <c r="X12" s="425"/>
      <c r="Y12" s="426"/>
    </row>
    <row r="13" spans="1:25" s="427" customFormat="1" x14ac:dyDescent="0.2">
      <c r="A13" s="418"/>
      <c r="B13" s="419">
        <f>IF($B12="","",IF($B12+1&gt;'Qredits maandlasten'!$C$7,"",Schema!B12+1))</f>
        <v>4</v>
      </c>
      <c r="C13" s="420">
        <f ca="1">IF($B12="","",IF($B12+1&gt;'Qredits maandlasten'!$C$7,"",EOMONTH(C12,0)+1))</f>
        <v>45292</v>
      </c>
      <c r="D13" s="418"/>
      <c r="E13" s="420">
        <f ca="1">IF($B12="","",IF($B12+1&gt;'Qredits maandlasten'!$C$7,"",F12+1))</f>
        <v>45261</v>
      </c>
      <c r="F13" s="420">
        <f ca="1">IF($B12="","",IF($B12+1&gt;'Qredits maandlasten'!$C$7,"",EOMONTH(C13,-1)))</f>
        <v>45291</v>
      </c>
      <c r="G13" s="421">
        <f ca="1">IF($B12="","",IF($B12+1&gt;'Qredits maandlasten'!$C$7,"",(_xlfn.DAYS(F13,E13)+1)/DAY(F13)))</f>
        <v>1</v>
      </c>
      <c r="H13" s="422"/>
      <c r="I13" s="423">
        <f ca="1">IF($B12="","",IF($B12+1&gt;'Qredits maandlasten'!$C$7,"",I12-J12))</f>
        <v>0</v>
      </c>
      <c r="J13" s="423">
        <f ca="1">IF($B12="","",IF($B12+1&gt;'Qredits maandlasten'!$C$7,"",IF(B12&lt;'Investering &amp; Financiering'!$E$52-1,0,IF('Qredits maandlasten'!$C$10="Lineair",'Qredits maandlasten'!$H$4,IF('Qredits maandlasten'!$C$10="Annuïteit",IFERROR('Qredits maandlasten'!$H$4-K13,0),0)))))</f>
        <v>0</v>
      </c>
      <c r="K13" s="423">
        <f ca="1">IF($B12="","",IF($B12+1&gt;'Qredits maandlasten'!$C$7,"",G13*I13*'Qredits maandlasten'!$C$8/12))</f>
        <v>0</v>
      </c>
      <c r="L13" s="423">
        <f ca="1">IF(S13="","",-K13-J13)</f>
        <v>0</v>
      </c>
      <c r="M13" s="423">
        <f t="shared" ca="1" si="0"/>
        <v>0</v>
      </c>
      <c r="N13" s="422"/>
      <c r="O13" s="424">
        <f>IF($B13="","",'Qredits maandlasten'!$C$8/12)</f>
        <v>8.1250000000000003E-3</v>
      </c>
      <c r="P13" s="424">
        <f>IF($B13="","",'Qredits maandlasten'!$C$8/12*(POWER(1+'Qredits maandlasten'!$C$8/12,$B13-1+1)))</f>
        <v>8.3922982293789857E-3</v>
      </c>
      <c r="Q13" s="424">
        <f t="shared" ca="1" si="3"/>
        <v>0</v>
      </c>
      <c r="R13" s="422"/>
      <c r="S13" s="423">
        <f t="shared" ca="1" si="1"/>
        <v>0</v>
      </c>
      <c r="T13" s="423">
        <f ca="1">IF(S13="","",J13/(POWER(1+'Qredits maandlasten'!$C$8/12,$B13-1+1)))</f>
        <v>0</v>
      </c>
      <c r="U13" s="425">
        <f t="shared" ca="1" si="4"/>
        <v>0</v>
      </c>
      <c r="V13" s="423">
        <f ca="1">IF($B13="","",K13/(POWER(1+'Qredits maandlasten'!$C$8/12,$B13-1+1)))</f>
        <v>0</v>
      </c>
      <c r="W13" s="422"/>
      <c r="X13" s="425"/>
      <c r="Y13" s="426"/>
    </row>
    <row r="14" spans="1:25" s="427" customFormat="1" x14ac:dyDescent="0.2">
      <c r="A14" s="418"/>
      <c r="B14" s="419">
        <f>IF($B13="","",IF($B13+1&gt;'Qredits maandlasten'!$C$7,"",Schema!B13+1))</f>
        <v>5</v>
      </c>
      <c r="C14" s="420">
        <f ca="1">IF($B13="","",IF($B13+1&gt;'Qredits maandlasten'!$C$7,"",EOMONTH(C13,0)+1))</f>
        <v>45323</v>
      </c>
      <c r="D14" s="418"/>
      <c r="E14" s="420">
        <f ca="1">IF($B13="","",IF($B13+1&gt;'Qredits maandlasten'!$C$7,"",F13+1))</f>
        <v>45292</v>
      </c>
      <c r="F14" s="420">
        <f ca="1">IF($B13="","",IF($B13+1&gt;'Qredits maandlasten'!$C$7,"",EOMONTH(C14,-1)))</f>
        <v>45322</v>
      </c>
      <c r="G14" s="421">
        <f ca="1">IF($B13="","",IF($B13+1&gt;'Qredits maandlasten'!$C$7,"",(_xlfn.DAYS(F14,E14)+1)/DAY(F14)))</f>
        <v>1</v>
      </c>
      <c r="H14" s="422"/>
      <c r="I14" s="423">
        <f ca="1">IF($B13="","",IF($B13+1&gt;'Qredits maandlasten'!$C$7,"",I13-J13))</f>
        <v>0</v>
      </c>
      <c r="J14" s="423">
        <f ca="1">IF($B13="","",IF($B13+1&gt;'Qredits maandlasten'!$C$7,"",IF(B13&lt;'Investering &amp; Financiering'!$E$52-1,0,IF('Qredits maandlasten'!$C$10="Lineair",'Qredits maandlasten'!$H$4,IF('Qredits maandlasten'!$C$10="Annuïteit",IFERROR('Qredits maandlasten'!$H$4-K14,0),0)))))</f>
        <v>0</v>
      </c>
      <c r="K14" s="423">
        <f ca="1">IF($B13="","",IF($B13+1&gt;'Qredits maandlasten'!$C$7,"",G14*I14*'Qredits maandlasten'!$C$8/12))</f>
        <v>0</v>
      </c>
      <c r="L14" s="423">
        <f t="shared" ca="1" si="2"/>
        <v>0</v>
      </c>
      <c r="M14" s="423">
        <f t="shared" ca="1" si="0"/>
        <v>0</v>
      </c>
      <c r="N14" s="422"/>
      <c r="O14" s="424">
        <f>IF($B14="","",'Qredits maandlasten'!$C$8/12)</f>
        <v>8.1250000000000003E-3</v>
      </c>
      <c r="P14" s="424">
        <f>IF($B14="","",'Qredits maandlasten'!$C$8/12*(POWER(1+'Qredits maandlasten'!$C$8/12,$B14-1+1)))</f>
        <v>8.4604856524926886E-3</v>
      </c>
      <c r="Q14" s="424">
        <f t="shared" ca="1" si="3"/>
        <v>0</v>
      </c>
      <c r="R14" s="422"/>
      <c r="S14" s="423">
        <f t="shared" ca="1" si="1"/>
        <v>0</v>
      </c>
      <c r="T14" s="423">
        <f ca="1">IF(S14="","",J14/(POWER(1+'Qredits maandlasten'!$C$8/12,$B14-1+1)))</f>
        <v>0</v>
      </c>
      <c r="U14" s="425">
        <f t="shared" ca="1" si="4"/>
        <v>0</v>
      </c>
      <c r="V14" s="423">
        <f ca="1">IF($B14="","",K14/(POWER(1+'Qredits maandlasten'!$C$8/12,$B14-1+1)))</f>
        <v>0</v>
      </c>
      <c r="W14" s="422"/>
      <c r="X14" s="425"/>
      <c r="Y14" s="426"/>
    </row>
    <row r="15" spans="1:25" s="427" customFormat="1" x14ac:dyDescent="0.2">
      <c r="A15" s="418"/>
      <c r="B15" s="419">
        <f>IF($B14="","",IF($B14+1&gt;'Qredits maandlasten'!$C$7,"",Schema!B14+1))</f>
        <v>6</v>
      </c>
      <c r="C15" s="420">
        <f ca="1">IF($B14="","",IF($B14+1&gt;'Qredits maandlasten'!$C$7,"",EOMONTH(C14,0)+1))</f>
        <v>45352</v>
      </c>
      <c r="D15" s="418"/>
      <c r="E15" s="420">
        <f ca="1">IF($B14="","",IF($B14+1&gt;'Qredits maandlasten'!$C$7,"",F14+1))</f>
        <v>45323</v>
      </c>
      <c r="F15" s="420">
        <f ca="1">IF($B14="","",IF($B14+1&gt;'Qredits maandlasten'!$C$7,"",EOMONTH(C15,-1)))</f>
        <v>45351</v>
      </c>
      <c r="G15" s="421">
        <f ca="1">IF($B14="","",IF($B14+1&gt;'Qredits maandlasten'!$C$7,"",(_xlfn.DAYS(F15,E15)+1)/DAY(F15)))</f>
        <v>1</v>
      </c>
      <c r="H15" s="422"/>
      <c r="I15" s="423">
        <f ca="1">IF($B14="","",IF($B14+1&gt;'Qredits maandlasten'!$C$7,"",I14-J14))</f>
        <v>0</v>
      </c>
      <c r="J15" s="423">
        <f ca="1">IF($B14="","",IF($B14+1&gt;'Qredits maandlasten'!$C$7,"",IF(B14&lt;'Investering &amp; Financiering'!$E$52-1,0,IF('Qredits maandlasten'!$C$10="Lineair",'Qredits maandlasten'!$H$4,IF('Qredits maandlasten'!$C$10="Annuïteit",IFERROR('Qredits maandlasten'!$H$4-K15,0),0)))))</f>
        <v>0</v>
      </c>
      <c r="K15" s="423">
        <f ca="1">IF($B14="","",IF($B14+1&gt;'Qredits maandlasten'!$C$7,"",G15*I15*'Qredits maandlasten'!$C$8/12))</f>
        <v>0</v>
      </c>
      <c r="L15" s="423">
        <f t="shared" ca="1" si="2"/>
        <v>0</v>
      </c>
      <c r="M15" s="423">
        <f t="shared" ca="1" si="0"/>
        <v>0</v>
      </c>
      <c r="N15" s="422"/>
      <c r="O15" s="424">
        <f>IF($B15="","",'Qredits maandlasten'!$C$8/12)</f>
        <v>8.1250000000000003E-3</v>
      </c>
      <c r="P15" s="424">
        <f>IF($B15="","",'Qredits maandlasten'!$C$8/12*(POWER(1+'Qredits maandlasten'!$C$8/12,$B15-1+1)))</f>
        <v>8.5292270984191933E-3</v>
      </c>
      <c r="Q15" s="424">
        <f t="shared" ca="1" si="3"/>
        <v>0</v>
      </c>
      <c r="R15" s="422"/>
      <c r="S15" s="423">
        <f t="shared" ca="1" si="1"/>
        <v>0</v>
      </c>
      <c r="T15" s="423">
        <f ca="1">IF(S15="","",J15/(POWER(1+'Qredits maandlasten'!$C$8/12,$B15-1+1)))</f>
        <v>0</v>
      </c>
      <c r="U15" s="425">
        <f t="shared" ca="1" si="4"/>
        <v>0</v>
      </c>
      <c r="V15" s="423">
        <f ca="1">IF($B15="","",K15/(POWER(1+'Qredits maandlasten'!$C$8/12,$B15-1+1)))</f>
        <v>0</v>
      </c>
      <c r="W15" s="422"/>
      <c r="X15" s="425"/>
      <c r="Y15" s="426"/>
    </row>
    <row r="16" spans="1:25" s="427" customFormat="1" x14ac:dyDescent="0.2">
      <c r="A16" s="418"/>
      <c r="B16" s="419">
        <f>IF($B15="","",IF($B15+1&gt;'Qredits maandlasten'!$C$7,"",Schema!B15+1))</f>
        <v>7</v>
      </c>
      <c r="C16" s="420">
        <f ca="1">IF($B15="","",IF($B15+1&gt;'Qredits maandlasten'!$C$7,"",EOMONTH(C15,0)+1))</f>
        <v>45383</v>
      </c>
      <c r="D16" s="418"/>
      <c r="E16" s="420">
        <f ca="1">IF($B15="","",IF($B15+1&gt;'Qredits maandlasten'!$C$7,"",F15+1))</f>
        <v>45352</v>
      </c>
      <c r="F16" s="420">
        <f ca="1">IF($B15="","",IF($B15+1&gt;'Qredits maandlasten'!$C$7,"",EOMONTH(C16,-1)))</f>
        <v>45382</v>
      </c>
      <c r="G16" s="421">
        <f ca="1">IF($B15="","",IF($B15+1&gt;'Qredits maandlasten'!$C$7,"",(_xlfn.DAYS(F16,E16)+1)/DAY(F16)))</f>
        <v>1</v>
      </c>
      <c r="H16" s="422"/>
      <c r="I16" s="423">
        <f ca="1">IF($B15="","",IF($B15+1&gt;'Qredits maandlasten'!$C$7,"",I15-J15))</f>
        <v>0</v>
      </c>
      <c r="J16" s="423">
        <f ca="1">IF($B15="","",IF($B15+1&gt;'Qredits maandlasten'!$C$7,"",IF(B15&lt;'Investering &amp; Financiering'!$E$52-1,0,IF('Qredits maandlasten'!$C$10="Lineair",'Qredits maandlasten'!$H$4,IF('Qredits maandlasten'!$C$10="Annuïteit",IFERROR('Qredits maandlasten'!$H$4-K16,0),0)))))</f>
        <v>0</v>
      </c>
      <c r="K16" s="423">
        <f ca="1">IF($B15="","",IF($B15+1&gt;'Qredits maandlasten'!$C$7,"",G16*I16*'Qredits maandlasten'!$C$8/12))</f>
        <v>0</v>
      </c>
      <c r="L16" s="423">
        <f t="shared" ca="1" si="2"/>
        <v>0</v>
      </c>
      <c r="M16" s="423">
        <f t="shared" ca="1" si="0"/>
        <v>0</v>
      </c>
      <c r="N16" s="422"/>
      <c r="O16" s="424">
        <f>IF($B16="","",'Qredits maandlasten'!$C$8/12)</f>
        <v>8.1250000000000003E-3</v>
      </c>
      <c r="P16" s="424">
        <f>IF($B16="","",'Qredits maandlasten'!$C$8/12*(POWER(1+'Qredits maandlasten'!$C$8/12,$B16-1+1)))</f>
        <v>8.5985270685938475E-3</v>
      </c>
      <c r="Q16" s="424">
        <f t="shared" ca="1" si="3"/>
        <v>0</v>
      </c>
      <c r="R16" s="422"/>
      <c r="S16" s="423">
        <f t="shared" ca="1" si="1"/>
        <v>0</v>
      </c>
      <c r="T16" s="423">
        <f ca="1">IF(S16="","",J16/(POWER(1+'Qredits maandlasten'!$C$8/12,$B16-1+1)))</f>
        <v>0</v>
      </c>
      <c r="U16" s="425">
        <f t="shared" ca="1" si="4"/>
        <v>0</v>
      </c>
      <c r="V16" s="423">
        <f ca="1">IF($B16="","",K16/(POWER(1+'Qredits maandlasten'!$C$8/12,$B16-1+1)))</f>
        <v>0</v>
      </c>
      <c r="W16" s="422"/>
      <c r="X16" s="425"/>
      <c r="Y16" s="426"/>
    </row>
    <row r="17" spans="1:28" s="427" customFormat="1" x14ac:dyDescent="0.2">
      <c r="A17" s="418"/>
      <c r="B17" s="419">
        <f>IF($B16="","",IF($B16+1&gt;'Qredits maandlasten'!$C$7,"",Schema!B16+1))</f>
        <v>8</v>
      </c>
      <c r="C17" s="420">
        <f ca="1">IF($B16="","",IF($B16+1&gt;'Qredits maandlasten'!$C$7,"",EOMONTH(C16,0)+1))</f>
        <v>45413</v>
      </c>
      <c r="D17" s="418"/>
      <c r="E17" s="420">
        <f ca="1">IF($B16="","",IF($B16+1&gt;'Qredits maandlasten'!$C$7,"",F16+1))</f>
        <v>45383</v>
      </c>
      <c r="F17" s="420">
        <f ca="1">IF($B16="","",IF($B16+1&gt;'Qredits maandlasten'!$C$7,"",EOMONTH(C17,-1)))</f>
        <v>45412</v>
      </c>
      <c r="G17" s="421">
        <f ca="1">IF($B16="","",IF($B16+1&gt;'Qredits maandlasten'!$C$7,"",(_xlfn.DAYS(F17,E17)+1)/DAY(F17)))</f>
        <v>1</v>
      </c>
      <c r="H17" s="422"/>
      <c r="I17" s="423">
        <f ca="1">IF($B16="","",IF($B16+1&gt;'Qredits maandlasten'!$C$7,"",I16-J16))</f>
        <v>0</v>
      </c>
      <c r="J17" s="423">
        <f ca="1">IF($B16="","",IF($B16+1&gt;'Qredits maandlasten'!$C$7,"",IF(B16&lt;'Investering &amp; Financiering'!$E$52-1,0,IF('Qredits maandlasten'!$C$10="Lineair",'Qredits maandlasten'!$H$4,IF('Qredits maandlasten'!$C$10="Annuïteit",IFERROR('Qredits maandlasten'!$H$4-K17,0),0)))))</f>
        <v>0</v>
      </c>
      <c r="K17" s="423">
        <f ca="1">IF($B16="","",IF($B16+1&gt;'Qredits maandlasten'!$C$7,"",G17*I17*'Qredits maandlasten'!$C$8/12))</f>
        <v>0</v>
      </c>
      <c r="L17" s="423">
        <f t="shared" ca="1" si="2"/>
        <v>0</v>
      </c>
      <c r="M17" s="423">
        <f t="shared" ca="1" si="0"/>
        <v>0</v>
      </c>
      <c r="N17" s="422"/>
      <c r="O17" s="424">
        <f>IF($B17="","",'Qredits maandlasten'!$C$8/12)</f>
        <v>8.1250000000000003E-3</v>
      </c>
      <c r="P17" s="424">
        <f>IF($B17="","",'Qredits maandlasten'!$C$8/12*(POWER(1+'Qredits maandlasten'!$C$8/12,$B17-1+1)))</f>
        <v>8.6683901010261733E-3</v>
      </c>
      <c r="Q17" s="424">
        <f t="shared" ca="1" si="3"/>
        <v>0</v>
      </c>
      <c r="R17" s="422"/>
      <c r="S17" s="423">
        <f t="shared" ca="1" si="1"/>
        <v>0</v>
      </c>
      <c r="T17" s="423">
        <f ca="1">IF(S17="","",J17/(POWER(1+'Qredits maandlasten'!$C$8/12,$B17-1+1)))</f>
        <v>0</v>
      </c>
      <c r="U17" s="425">
        <f t="shared" ca="1" si="4"/>
        <v>0</v>
      </c>
      <c r="V17" s="423">
        <f ca="1">IF($B17="","",K17/(POWER(1+'Qredits maandlasten'!$C$8/12,$B17-1+1)))</f>
        <v>0</v>
      </c>
      <c r="W17" s="422"/>
      <c r="X17" s="425"/>
      <c r="Y17" s="426"/>
    </row>
    <row r="18" spans="1:28" s="427" customFormat="1" x14ac:dyDescent="0.2">
      <c r="A18" s="418"/>
      <c r="B18" s="419">
        <f>IF($B17="","",IF($B17+1&gt;'Qredits maandlasten'!$C$7,"",Schema!B17+1))</f>
        <v>9</v>
      </c>
      <c r="C18" s="420">
        <f ca="1">IF($B17="","",IF($B17+1&gt;'Qredits maandlasten'!$C$7,"",EOMONTH(C17,0)+1))</f>
        <v>45444</v>
      </c>
      <c r="D18" s="418"/>
      <c r="E18" s="420">
        <f ca="1">IF($B17="","",IF($B17+1&gt;'Qredits maandlasten'!$C$7,"",F17+1))</f>
        <v>45413</v>
      </c>
      <c r="F18" s="420">
        <f ca="1">IF($B17="","",IF($B17+1&gt;'Qredits maandlasten'!$C$7,"",EOMONTH(C18,-1)))</f>
        <v>45443</v>
      </c>
      <c r="G18" s="421">
        <f ca="1">IF($B17="","",IF($B17+1&gt;'Qredits maandlasten'!$C$7,"",(_xlfn.DAYS(F18,E18)+1)/DAY(F18)))</f>
        <v>1</v>
      </c>
      <c r="H18" s="422"/>
      <c r="I18" s="423">
        <f ca="1">IF($B17="","",IF($B17+1&gt;'Qredits maandlasten'!$C$7,"",I17-J17))</f>
        <v>0</v>
      </c>
      <c r="J18" s="423">
        <f ca="1">IF($B17="","",IF($B17+1&gt;'Qredits maandlasten'!$C$7,"",IF(B17&lt;'Investering &amp; Financiering'!$E$52-1,0,IF('Qredits maandlasten'!$C$10="Lineair",'Qredits maandlasten'!$H$4,IF('Qredits maandlasten'!$C$10="Annuïteit",IFERROR('Qredits maandlasten'!$H$4-K18,0),0)))))</f>
        <v>0</v>
      </c>
      <c r="K18" s="423">
        <f ca="1">IF($B17="","",IF($B17+1&gt;'Qredits maandlasten'!$C$7,"",G18*I18*'Qredits maandlasten'!$C$8/12))</f>
        <v>0</v>
      </c>
      <c r="L18" s="423">
        <f t="shared" ca="1" si="2"/>
        <v>0</v>
      </c>
      <c r="M18" s="423">
        <f t="shared" ca="1" si="0"/>
        <v>0</v>
      </c>
      <c r="N18" s="422"/>
      <c r="O18" s="424">
        <f>IF($B18="","",'Qredits maandlasten'!$C$8/12)</f>
        <v>8.1250000000000003E-3</v>
      </c>
      <c r="P18" s="424">
        <f>IF($B18="","",'Qredits maandlasten'!$C$8/12*(POWER(1+'Qredits maandlasten'!$C$8/12,$B18-1+1)))</f>
        <v>8.7388207705970111E-3</v>
      </c>
      <c r="Q18" s="424">
        <f t="shared" ca="1" si="3"/>
        <v>0</v>
      </c>
      <c r="R18" s="422"/>
      <c r="S18" s="423">
        <f t="shared" ca="1" si="1"/>
        <v>0</v>
      </c>
      <c r="T18" s="423">
        <f ca="1">IF(S18="","",J18/(POWER(1+'Qredits maandlasten'!$C$8/12,$B18-1+1)))</f>
        <v>0</v>
      </c>
      <c r="U18" s="425">
        <f t="shared" ca="1" si="4"/>
        <v>0</v>
      </c>
      <c r="V18" s="423">
        <f ca="1">IF($B18="","",K18/(POWER(1+'Qredits maandlasten'!$C$8/12,$B18-1+1)))</f>
        <v>0</v>
      </c>
      <c r="W18" s="422"/>
      <c r="X18" s="425"/>
      <c r="Y18" s="426"/>
    </row>
    <row r="19" spans="1:28" s="427" customFormat="1" x14ac:dyDescent="0.2">
      <c r="A19" s="418"/>
      <c r="B19" s="419">
        <f>IF($B18="","",IF($B18+1&gt;'Qredits maandlasten'!$C$7,"",Schema!B18+1))</f>
        <v>10</v>
      </c>
      <c r="C19" s="420">
        <f ca="1">IF($B18="","",IF($B18+1&gt;'Qredits maandlasten'!$C$7,"",EOMONTH(C18,0)+1))</f>
        <v>45474</v>
      </c>
      <c r="D19" s="418"/>
      <c r="E19" s="420">
        <f ca="1">IF($B18="","",IF($B18+1&gt;'Qredits maandlasten'!$C$7,"",F18+1))</f>
        <v>45444</v>
      </c>
      <c r="F19" s="420">
        <f ca="1">IF($B18="","",IF($B18+1&gt;'Qredits maandlasten'!$C$7,"",EOMONTH(C19,-1)))</f>
        <v>45473</v>
      </c>
      <c r="G19" s="421">
        <f ca="1">IF($B18="","",IF($B18+1&gt;'Qredits maandlasten'!$C$7,"",(_xlfn.DAYS(F19,E19)+1)/DAY(F19)))</f>
        <v>1</v>
      </c>
      <c r="H19" s="422"/>
      <c r="I19" s="423">
        <f ca="1">IF($B18="","",IF($B18+1&gt;'Qredits maandlasten'!$C$7,"",I18-J18))</f>
        <v>0</v>
      </c>
      <c r="J19" s="423">
        <f ca="1">IF($B18="","",IF($B18+1&gt;'Qredits maandlasten'!$C$7,"",IF(B18&lt;'Investering &amp; Financiering'!$E$52-1,0,IF('Qredits maandlasten'!$C$10="Lineair",'Qredits maandlasten'!$H$4,IF('Qredits maandlasten'!$C$10="Annuïteit",IFERROR('Qredits maandlasten'!$H$4-K19,0),0)))))</f>
        <v>0</v>
      </c>
      <c r="K19" s="423">
        <f ca="1">IF($B18="","",IF($B18+1&gt;'Qredits maandlasten'!$C$7,"",G19*I19*'Qredits maandlasten'!$C$8/12))</f>
        <v>0</v>
      </c>
      <c r="L19" s="423">
        <f t="shared" ca="1" si="2"/>
        <v>0</v>
      </c>
      <c r="M19" s="423">
        <f t="shared" ca="1" si="0"/>
        <v>0</v>
      </c>
      <c r="N19" s="422"/>
      <c r="O19" s="424">
        <f>IF($B19="","",'Qredits maandlasten'!$C$8/12)</f>
        <v>8.1250000000000003E-3</v>
      </c>
      <c r="P19" s="424">
        <f>IF($B19="","",'Qredits maandlasten'!$C$8/12*(POWER(1+'Qredits maandlasten'!$C$8/12,$B19-1+1)))</f>
        <v>8.8098236893581119E-3</v>
      </c>
      <c r="Q19" s="424">
        <f t="shared" ca="1" si="3"/>
        <v>0</v>
      </c>
      <c r="R19" s="422"/>
      <c r="S19" s="423">
        <f t="shared" ca="1" si="1"/>
        <v>0</v>
      </c>
      <c r="T19" s="423">
        <f ca="1">IF(S19="","",J19/(POWER(1+'Qredits maandlasten'!$C$8/12,$B19-1+1)))</f>
        <v>0</v>
      </c>
      <c r="U19" s="425">
        <f t="shared" ca="1" si="4"/>
        <v>0</v>
      </c>
      <c r="V19" s="423">
        <f ca="1">IF($B19="","",K19/(POWER(1+'Qredits maandlasten'!$C$8/12,$B19-1+1)))</f>
        <v>0</v>
      </c>
      <c r="W19" s="422"/>
      <c r="X19" s="425"/>
      <c r="Y19" s="426"/>
    </row>
    <row r="20" spans="1:28" s="427" customFormat="1" x14ac:dyDescent="0.2">
      <c r="A20" s="418"/>
      <c r="B20" s="419">
        <f>IF($B19="","",IF($B19+1&gt;'Qredits maandlasten'!$C$7,"",Schema!B19+1))</f>
        <v>11</v>
      </c>
      <c r="C20" s="420">
        <f ca="1">IF($B19="","",IF($B19+1&gt;'Qredits maandlasten'!$C$7,"",EOMONTH(C19,0)+1))</f>
        <v>45505</v>
      </c>
      <c r="D20" s="418"/>
      <c r="E20" s="420">
        <f ca="1">IF($B19="","",IF($B19+1&gt;'Qredits maandlasten'!$C$7,"",F19+1))</f>
        <v>45474</v>
      </c>
      <c r="F20" s="420">
        <f ca="1">IF($B19="","",IF($B19+1&gt;'Qredits maandlasten'!$C$7,"",EOMONTH(C20,-1)))</f>
        <v>45504</v>
      </c>
      <c r="G20" s="421">
        <f ca="1">IF($B19="","",IF($B19+1&gt;'Qredits maandlasten'!$C$7,"",(_xlfn.DAYS(F20,E20)+1)/DAY(F20)))</f>
        <v>1</v>
      </c>
      <c r="H20" s="422"/>
      <c r="I20" s="423">
        <f ca="1">IF($B19="","",IF($B19+1&gt;'Qredits maandlasten'!$C$7,"",I19-J19))</f>
        <v>0</v>
      </c>
      <c r="J20" s="423">
        <f ca="1">IF($B19="","",IF($B19+1&gt;'Qredits maandlasten'!$C$7,"",IF(B19&lt;'Investering &amp; Financiering'!$E$52-1,0,IF('Qredits maandlasten'!$C$10="Lineair",'Qredits maandlasten'!$H$4,IF('Qredits maandlasten'!$C$10="Annuïteit",IFERROR('Qredits maandlasten'!$H$4-K20,0),0)))))</f>
        <v>0</v>
      </c>
      <c r="K20" s="423">
        <f ca="1">IF($B19="","",IF($B19+1&gt;'Qredits maandlasten'!$C$7,"",G20*I20*'Qredits maandlasten'!$C$8/12))</f>
        <v>0</v>
      </c>
      <c r="L20" s="423">
        <f t="shared" ca="1" si="2"/>
        <v>0</v>
      </c>
      <c r="M20" s="423">
        <f t="shared" ca="1" si="0"/>
        <v>0</v>
      </c>
      <c r="N20" s="422"/>
      <c r="O20" s="424">
        <f>IF($B20="","",'Qredits maandlasten'!$C$8/12)</f>
        <v>8.1250000000000003E-3</v>
      </c>
      <c r="P20" s="424">
        <f>IF($B20="","",'Qredits maandlasten'!$C$8/12*(POWER(1+'Qredits maandlasten'!$C$8/12,$B20-1+1)))</f>
        <v>8.8814035068341454E-3</v>
      </c>
      <c r="Q20" s="424">
        <f t="shared" ca="1" si="3"/>
        <v>0</v>
      </c>
      <c r="R20" s="422"/>
      <c r="S20" s="423">
        <f t="shared" ca="1" si="1"/>
        <v>0</v>
      </c>
      <c r="T20" s="423">
        <f ca="1">IF(S20="","",J20/(POWER(1+'Qredits maandlasten'!$C$8/12,$B20-1+1)))</f>
        <v>0</v>
      </c>
      <c r="U20" s="425">
        <f t="shared" ca="1" si="4"/>
        <v>0</v>
      </c>
      <c r="V20" s="423">
        <f ca="1">IF($B20="","",K20/(POWER(1+'Qredits maandlasten'!$C$8/12,$B20-1+1)))</f>
        <v>0</v>
      </c>
      <c r="W20" s="422"/>
      <c r="X20" s="425"/>
      <c r="Y20" s="426"/>
    </row>
    <row r="21" spans="1:28" s="427" customFormat="1" x14ac:dyDescent="0.2">
      <c r="A21" s="418"/>
      <c r="B21" s="419">
        <f>IF($B20="","",IF($B20+1&gt;'Qredits maandlasten'!$C$7,"",Schema!B20+1))</f>
        <v>12</v>
      </c>
      <c r="C21" s="420">
        <f ca="1">IF($B20="","",IF($B20+1&gt;'Qredits maandlasten'!$C$7,"",EOMONTH(C20,0)+1))</f>
        <v>45536</v>
      </c>
      <c r="D21" s="418"/>
      <c r="E21" s="420">
        <f ca="1">IF($B20="","",IF($B20+1&gt;'Qredits maandlasten'!$C$7,"",F20+1))</f>
        <v>45505</v>
      </c>
      <c r="F21" s="420">
        <f ca="1">IF($B20="","",IF($B20+1&gt;'Qredits maandlasten'!$C$7,"",EOMONTH(C21,-1)))</f>
        <v>45535</v>
      </c>
      <c r="G21" s="421">
        <f ca="1">IF($B20="","",IF($B20+1&gt;'Qredits maandlasten'!$C$7,"",(_xlfn.DAYS(F21,E21)+1)/DAY(F21)))</f>
        <v>1</v>
      </c>
      <c r="H21" s="422"/>
      <c r="I21" s="423">
        <f ca="1">IF($B20="","",IF($B20+1&gt;'Qredits maandlasten'!$C$7,"",I20-J20))</f>
        <v>0</v>
      </c>
      <c r="J21" s="423">
        <f ca="1">IF($B20="","",IF($B20+1&gt;'Qredits maandlasten'!$C$7,"",IF(B20&lt;'Investering &amp; Financiering'!$E$52-1,0,IF('Qredits maandlasten'!$C$10="Lineair",'Qredits maandlasten'!$H$4,IF('Qredits maandlasten'!$C$10="Annuïteit",IFERROR('Qredits maandlasten'!$H$4-K21,0),0)))))</f>
        <v>0</v>
      </c>
      <c r="K21" s="423">
        <f ca="1">IF($B20="","",IF($B20+1&gt;'Qredits maandlasten'!$C$7,"",G21*I21*'Qredits maandlasten'!$C$8/12))</f>
        <v>0</v>
      </c>
      <c r="L21" s="423">
        <f t="shared" ca="1" si="2"/>
        <v>0</v>
      </c>
      <c r="M21" s="423">
        <f t="shared" ca="1" si="0"/>
        <v>0</v>
      </c>
      <c r="N21" s="422"/>
      <c r="O21" s="424">
        <f>IF($B21="","",'Qredits maandlasten'!$C$8/12)</f>
        <v>8.1250000000000003E-3</v>
      </c>
      <c r="P21" s="424">
        <f>IF($B21="","",'Qredits maandlasten'!$C$8/12*(POWER(1+'Qredits maandlasten'!$C$8/12,$B21-1+1)))</f>
        <v>8.9535649103271719E-3</v>
      </c>
      <c r="Q21" s="424">
        <f t="shared" ca="1" si="3"/>
        <v>0</v>
      </c>
      <c r="R21" s="422"/>
      <c r="S21" s="423">
        <f t="shared" ca="1" si="1"/>
        <v>0</v>
      </c>
      <c r="T21" s="423">
        <f ca="1">IF(S21="","",J21/(POWER(1+'Qredits maandlasten'!$C$8/12,$B21-1+1)))</f>
        <v>0</v>
      </c>
      <c r="U21" s="425">
        <f t="shared" ca="1" si="4"/>
        <v>0</v>
      </c>
      <c r="V21" s="423">
        <f ca="1">IF($B21="","",K21/(POWER(1+'Qredits maandlasten'!$C$8/12,$B21-1+1)))</f>
        <v>0</v>
      </c>
      <c r="W21" s="422"/>
      <c r="X21" s="425"/>
      <c r="Y21" s="426"/>
    </row>
    <row r="22" spans="1:28" s="427" customFormat="1" x14ac:dyDescent="0.2">
      <c r="A22" s="418"/>
      <c r="B22" s="419">
        <f>IF($B21="","",IF($B21+1&gt;'Qredits maandlasten'!$C$7,"",Schema!B21+1))</f>
        <v>13</v>
      </c>
      <c r="C22" s="420">
        <f ca="1">IF($B21="","",IF($B21+1&gt;'Qredits maandlasten'!$C$7,"",EOMONTH(C21,0)+1))</f>
        <v>45566</v>
      </c>
      <c r="D22" s="418"/>
      <c r="E22" s="420">
        <f ca="1">IF($B21="","",IF($B21+1&gt;'Qredits maandlasten'!$C$7,"",F21+1))</f>
        <v>45536</v>
      </c>
      <c r="F22" s="420">
        <f ca="1">IF($B21="","",IF($B21+1&gt;'Qredits maandlasten'!$C$7,"",EOMONTH(C22,-1)))</f>
        <v>45565</v>
      </c>
      <c r="G22" s="421">
        <f ca="1">IF($B21="","",IF($B21+1&gt;'Qredits maandlasten'!$C$7,"",(_xlfn.DAYS(F22,E22)+1)/DAY(F22)))</f>
        <v>1</v>
      </c>
      <c r="H22" s="422"/>
      <c r="I22" s="423">
        <f ca="1">IF($B21="","",IF($B21+1&gt;'Qredits maandlasten'!$C$7,"",I21-J21))</f>
        <v>0</v>
      </c>
      <c r="J22" s="423">
        <f ca="1">IF($B21="","",IF($B21+1&gt;'Qredits maandlasten'!$C$7,"",IF(B21&lt;'Investering &amp; Financiering'!$E$52-1,0,IF('Qredits maandlasten'!$C$10="Lineair",'Qredits maandlasten'!$H$4,IF('Qredits maandlasten'!$C$10="Annuïteit",IFERROR('Qredits maandlasten'!$H$4-K22,0),0)))))</f>
        <v>0</v>
      </c>
      <c r="K22" s="423">
        <f ca="1">IF($B21="","",IF($B21+1&gt;'Qredits maandlasten'!$C$7,"",G22*I22*'Qredits maandlasten'!$C$8/12))</f>
        <v>0</v>
      </c>
      <c r="L22" s="423">
        <f t="shared" ca="1" si="2"/>
        <v>0</v>
      </c>
      <c r="M22" s="423">
        <f t="shared" ca="1" si="0"/>
        <v>0</v>
      </c>
      <c r="N22" s="422"/>
      <c r="O22" s="424">
        <f>IF($B22="","",'Qredits maandlasten'!$C$8/12)</f>
        <v>8.1250000000000003E-3</v>
      </c>
      <c r="P22" s="424">
        <f>IF($B22="","",'Qredits maandlasten'!$C$8/12*(POWER(1+'Qredits maandlasten'!$C$8/12,$B22-1+1)))</f>
        <v>9.0263126252235811E-3</v>
      </c>
      <c r="Q22" s="424">
        <f t="shared" ca="1" si="3"/>
        <v>0</v>
      </c>
      <c r="R22" s="422"/>
      <c r="S22" s="423">
        <f t="shared" ca="1" si="1"/>
        <v>0</v>
      </c>
      <c r="T22" s="423">
        <f ca="1">IF(S22="","",J22/(POWER(1+'Qredits maandlasten'!$C$8/12,$B22-1+1)))</f>
        <v>0</v>
      </c>
      <c r="U22" s="425">
        <f t="shared" ca="1" si="4"/>
        <v>0</v>
      </c>
      <c r="V22" s="423">
        <f ca="1">IF($B22="","",K22/(POWER(1+'Qredits maandlasten'!$C$8/12,$B22-1+1)))</f>
        <v>0</v>
      </c>
      <c r="W22" s="422"/>
      <c r="X22" s="425"/>
      <c r="Y22" s="428"/>
    </row>
    <row r="23" spans="1:28" s="427" customFormat="1" x14ac:dyDescent="0.2">
      <c r="A23" s="418"/>
      <c r="B23" s="419">
        <f>IF($B22="","",IF($B22+1&gt;'Qredits maandlasten'!$C$7,"",Schema!B22+1))</f>
        <v>14</v>
      </c>
      <c r="C23" s="420">
        <f ca="1">IF($B22="","",IF($B22+1&gt;'Qredits maandlasten'!$C$7,"",EOMONTH(C22,0)+1))</f>
        <v>45597</v>
      </c>
      <c r="D23" s="418"/>
      <c r="E23" s="420">
        <f ca="1">IF($B22="","",IF($B22+1&gt;'Qredits maandlasten'!$C$7,"",F22+1))</f>
        <v>45566</v>
      </c>
      <c r="F23" s="420">
        <f ca="1">IF($B22="","",IF($B22+1&gt;'Qredits maandlasten'!$C$7,"",EOMONTH(C23,-1)))</f>
        <v>45596</v>
      </c>
      <c r="G23" s="421">
        <f ca="1">IF($B22="","",IF($B22+1&gt;'Qredits maandlasten'!$C$7,"",(_xlfn.DAYS(F23,E23)+1)/DAY(F23)))</f>
        <v>1</v>
      </c>
      <c r="H23" s="422"/>
      <c r="I23" s="423">
        <f ca="1">IF($B22="","",IF($B22+1&gt;'Qredits maandlasten'!$C$7,"",I22-J22))</f>
        <v>0</v>
      </c>
      <c r="J23" s="423">
        <f ca="1">IF($B22="","",IF($B22+1&gt;'Qredits maandlasten'!$C$7,"",IF(B22&lt;'Investering &amp; Financiering'!$E$52-1,0,IF('Qredits maandlasten'!$C$10="Lineair",'Qredits maandlasten'!$H$4,IF('Qredits maandlasten'!$C$10="Annuïteit",IFERROR('Qredits maandlasten'!$H$4-K23,0),0)))))</f>
        <v>0</v>
      </c>
      <c r="K23" s="423">
        <f ca="1">IF($B22="","",IF($B22+1&gt;'Qredits maandlasten'!$C$7,"",G23*I23*'Qredits maandlasten'!$C$8/12))</f>
        <v>0</v>
      </c>
      <c r="L23" s="423">
        <f t="shared" ca="1" si="2"/>
        <v>0</v>
      </c>
      <c r="M23" s="423">
        <f t="shared" ca="1" si="0"/>
        <v>0</v>
      </c>
      <c r="N23" s="422"/>
      <c r="O23" s="424">
        <f>IF($B23="","",'Qredits maandlasten'!$C$8/12)</f>
        <v>8.1250000000000003E-3</v>
      </c>
      <c r="P23" s="424">
        <f>IF($B23="","",'Qredits maandlasten'!$C$8/12*(POWER(1+'Qredits maandlasten'!$C$8/12,$B23-1+1)))</f>
        <v>9.0996514153035227E-3</v>
      </c>
      <c r="Q23" s="424">
        <f t="shared" ca="1" si="3"/>
        <v>0</v>
      </c>
      <c r="R23" s="422"/>
      <c r="S23" s="423">
        <f t="shared" ca="1" si="1"/>
        <v>0</v>
      </c>
      <c r="T23" s="423">
        <f ca="1">IF(S23="","",J23/(POWER(1+'Qredits maandlasten'!$C$8/12,$B23-1+1)))</f>
        <v>0</v>
      </c>
      <c r="U23" s="425">
        <f t="shared" ca="1" si="4"/>
        <v>0</v>
      </c>
      <c r="V23" s="423">
        <f ca="1">IF($B23="","",K23/(POWER(1+'Qredits maandlasten'!$C$8/12,$B23-1+1)))</f>
        <v>0</v>
      </c>
      <c r="W23" s="422"/>
      <c r="X23" s="425"/>
      <c r="Y23" s="426"/>
    </row>
    <row r="24" spans="1:28" s="427" customFormat="1" x14ac:dyDescent="0.2">
      <c r="A24" s="418"/>
      <c r="B24" s="419">
        <f>IF($B23="","",IF($B23+1&gt;'Qredits maandlasten'!$C$7,"",Schema!B23+1))</f>
        <v>15</v>
      </c>
      <c r="C24" s="420">
        <f ca="1">IF($B23="","",IF($B23+1&gt;'Qredits maandlasten'!$C$7,"",EOMONTH(C23,0)+1))</f>
        <v>45627</v>
      </c>
      <c r="D24" s="418"/>
      <c r="E24" s="420">
        <f ca="1">IF($B23="","",IF($B23+1&gt;'Qredits maandlasten'!$C$7,"",F23+1))</f>
        <v>45597</v>
      </c>
      <c r="F24" s="420">
        <f ca="1">IF($B23="","",IF($B23+1&gt;'Qredits maandlasten'!$C$7,"",EOMONTH(C24,-1)))</f>
        <v>45626</v>
      </c>
      <c r="G24" s="421">
        <f ca="1">IF($B23="","",IF($B23+1&gt;'Qredits maandlasten'!$C$7,"",(_xlfn.DAYS(F24,E24)+1)/DAY(F24)))</f>
        <v>1</v>
      </c>
      <c r="H24" s="422"/>
      <c r="I24" s="423">
        <f ca="1">IF($B23="","",IF($B23+1&gt;'Qredits maandlasten'!$C$7,"",I23-J23))</f>
        <v>0</v>
      </c>
      <c r="J24" s="423">
        <f ca="1">IF($B23="","",IF($B23+1&gt;'Qredits maandlasten'!$C$7,"",IF(B23&lt;'Investering &amp; Financiering'!$E$52-1,0,IF('Qredits maandlasten'!$C$10="Lineair",'Qredits maandlasten'!$H$4,IF('Qredits maandlasten'!$C$10="Annuïteit",IFERROR('Qredits maandlasten'!$H$4-K24,0),0)))))</f>
        <v>0</v>
      </c>
      <c r="K24" s="423">
        <f ca="1">IF($B23="","",IF($B23+1&gt;'Qredits maandlasten'!$C$7,"",G24*I24*'Qredits maandlasten'!$C$8/12))</f>
        <v>0</v>
      </c>
      <c r="L24" s="423">
        <f t="shared" ca="1" si="2"/>
        <v>0</v>
      </c>
      <c r="M24" s="423">
        <f t="shared" ca="1" si="0"/>
        <v>0</v>
      </c>
      <c r="N24" s="422"/>
      <c r="O24" s="424">
        <f>IF($B24="","",'Qredits maandlasten'!$C$8/12)</f>
        <v>8.1250000000000003E-3</v>
      </c>
      <c r="P24" s="424">
        <f>IF($B24="","",'Qredits maandlasten'!$C$8/12*(POWER(1+'Qredits maandlasten'!$C$8/12,$B24-1+1)))</f>
        <v>9.1735860830528641E-3</v>
      </c>
      <c r="Q24" s="424">
        <f t="shared" ca="1" si="3"/>
        <v>0</v>
      </c>
      <c r="R24" s="422"/>
      <c r="S24" s="423">
        <f t="shared" ca="1" si="1"/>
        <v>0</v>
      </c>
      <c r="T24" s="423">
        <f ca="1">IF(S24="","",J24/(POWER(1+'Qredits maandlasten'!$C$8/12,$B24-1+1)))</f>
        <v>0</v>
      </c>
      <c r="U24" s="425">
        <f t="shared" ca="1" si="4"/>
        <v>0</v>
      </c>
      <c r="V24" s="423">
        <f ca="1">IF($B24="","",K24/(POWER(1+'Qredits maandlasten'!$C$8/12,$B24-1+1)))</f>
        <v>0</v>
      </c>
      <c r="W24" s="422"/>
      <c r="X24" s="425"/>
      <c r="Y24" s="428"/>
    </row>
    <row r="25" spans="1:28" s="427" customFormat="1" x14ac:dyDescent="0.2">
      <c r="A25" s="418"/>
      <c r="B25" s="419">
        <f>IF($B24="","",IF($B24+1&gt;'Qredits maandlasten'!$C$7,"",Schema!B24+1))</f>
        <v>16</v>
      </c>
      <c r="C25" s="420">
        <f ca="1">IF($B24="","",IF($B24+1&gt;'Qredits maandlasten'!$C$7,"",EOMONTH(C24,0)+1))</f>
        <v>45658</v>
      </c>
      <c r="D25" s="418"/>
      <c r="E25" s="420">
        <f ca="1">IF($B24="","",IF($B24+1&gt;'Qredits maandlasten'!$C$7,"",F24+1))</f>
        <v>45627</v>
      </c>
      <c r="F25" s="420">
        <f ca="1">IF($B24="","",IF($B24+1&gt;'Qredits maandlasten'!$C$7,"",EOMONTH(C25,-1)))</f>
        <v>45657</v>
      </c>
      <c r="G25" s="421">
        <f ca="1">IF($B24="","",IF($B24+1&gt;'Qredits maandlasten'!$C$7,"",(_xlfn.DAYS(F25,E25)+1)/DAY(F25)))</f>
        <v>1</v>
      </c>
      <c r="H25" s="422"/>
      <c r="I25" s="423">
        <f ca="1">IF($B24="","",IF($B24+1&gt;'Qredits maandlasten'!$C$7,"",I24-J24))</f>
        <v>0</v>
      </c>
      <c r="J25" s="423">
        <f ca="1">IF($B24="","",IF($B24+1&gt;'Qredits maandlasten'!$C$7,"",IF(B24&lt;'Investering &amp; Financiering'!$E$52-1,0,IF('Qredits maandlasten'!$C$10="Lineair",'Qredits maandlasten'!$H$4,IF('Qredits maandlasten'!$C$10="Annuïteit",IFERROR('Qredits maandlasten'!$H$4-K25,0),0)))))</f>
        <v>0</v>
      </c>
      <c r="K25" s="423">
        <f ca="1">IF($B24="","",IF($B24+1&gt;'Qredits maandlasten'!$C$7,"",G25*I25*'Qredits maandlasten'!$C$8/12))</f>
        <v>0</v>
      </c>
      <c r="L25" s="423">
        <f t="shared" ca="1" si="2"/>
        <v>0</v>
      </c>
      <c r="M25" s="423">
        <f t="shared" ca="1" si="0"/>
        <v>0</v>
      </c>
      <c r="N25" s="422"/>
      <c r="O25" s="424">
        <f>IF($B25="","",'Qredits maandlasten'!$C$8/12)</f>
        <v>8.1250000000000003E-3</v>
      </c>
      <c r="P25" s="424">
        <f>IF($B25="","",'Qredits maandlasten'!$C$8/12*(POWER(1+'Qredits maandlasten'!$C$8/12,$B25-1+1)))</f>
        <v>9.2481214699776677E-3</v>
      </c>
      <c r="Q25" s="424">
        <f t="shared" ca="1" si="3"/>
        <v>0</v>
      </c>
      <c r="R25" s="422"/>
      <c r="S25" s="423">
        <f t="shared" ca="1" si="1"/>
        <v>0</v>
      </c>
      <c r="T25" s="423">
        <f ca="1">IF(S25="","",J25/(POWER(1+'Qredits maandlasten'!$C$8/12,$B25-1+1)))</f>
        <v>0</v>
      </c>
      <c r="U25" s="425">
        <f t="shared" ca="1" si="4"/>
        <v>0</v>
      </c>
      <c r="V25" s="423">
        <f ca="1">IF($B25="","",K25/(POWER(1+'Qredits maandlasten'!$C$8/12,$B25-1+1)))</f>
        <v>0</v>
      </c>
      <c r="W25" s="422"/>
      <c r="X25" s="425"/>
      <c r="Y25" s="426"/>
    </row>
    <row r="26" spans="1:28" s="427" customFormat="1" x14ac:dyDescent="0.2">
      <c r="A26" s="418"/>
      <c r="B26" s="419">
        <f>IF($B25="","",IF($B25+1&gt;'Qredits maandlasten'!$C$7,"",Schema!B25+1))</f>
        <v>17</v>
      </c>
      <c r="C26" s="420">
        <f ca="1">IF($B25="","",IF($B25+1&gt;'Qredits maandlasten'!$C$7,"",EOMONTH(C25,0)+1))</f>
        <v>45689</v>
      </c>
      <c r="D26" s="418"/>
      <c r="E26" s="420">
        <f ca="1">IF($B25="","",IF($B25+1&gt;'Qredits maandlasten'!$C$7,"",F25+1))</f>
        <v>45658</v>
      </c>
      <c r="F26" s="420">
        <f ca="1">IF($B25="","",IF($B25+1&gt;'Qredits maandlasten'!$C$7,"",EOMONTH(C26,-1)))</f>
        <v>45688</v>
      </c>
      <c r="G26" s="421">
        <f ca="1">IF($B25="","",IF($B25+1&gt;'Qredits maandlasten'!$C$7,"",(_xlfn.DAYS(F26,E26)+1)/DAY(F26)))</f>
        <v>1</v>
      </c>
      <c r="H26" s="422"/>
      <c r="I26" s="423">
        <f ca="1">IF($B25="","",IF($B25+1&gt;'Qredits maandlasten'!$C$7,"",I25-J25))</f>
        <v>0</v>
      </c>
      <c r="J26" s="423">
        <f ca="1">IF($B25="","",IF($B25+1&gt;'Qredits maandlasten'!$C$7,"",IF(B25&lt;'Investering &amp; Financiering'!$E$52-1,0,IF('Qredits maandlasten'!$C$10="Lineair",'Qredits maandlasten'!$H$4,IF('Qredits maandlasten'!$C$10="Annuïteit",IFERROR('Qredits maandlasten'!$H$4-K26,0),0)))))</f>
        <v>0</v>
      </c>
      <c r="K26" s="423">
        <f ca="1">IF($B25="","",IF($B25+1&gt;'Qredits maandlasten'!$C$7,"",G26*I26*'Qredits maandlasten'!$C$8/12))</f>
        <v>0</v>
      </c>
      <c r="L26" s="423">
        <f t="shared" ca="1" si="2"/>
        <v>0</v>
      </c>
      <c r="M26" s="423">
        <f t="shared" ca="1" si="0"/>
        <v>0</v>
      </c>
      <c r="N26" s="422"/>
      <c r="O26" s="424">
        <f>IF($B26="","",'Qredits maandlasten'!$C$8/12)</f>
        <v>8.1250000000000003E-3</v>
      </c>
      <c r="P26" s="424">
        <f>IF($B26="","",'Qredits maandlasten'!$C$8/12*(POWER(1+'Qredits maandlasten'!$C$8/12,$B26-1+1)))</f>
        <v>9.3232624569212358E-3</v>
      </c>
      <c r="Q26" s="424">
        <f t="shared" ca="1" si="3"/>
        <v>0</v>
      </c>
      <c r="R26" s="422"/>
      <c r="S26" s="423">
        <f t="shared" ca="1" si="1"/>
        <v>0</v>
      </c>
      <c r="T26" s="423">
        <f ca="1">IF(S26="","",J26/(POWER(1+'Qredits maandlasten'!$C$8/12,$B26-1+1)))</f>
        <v>0</v>
      </c>
      <c r="U26" s="425">
        <f t="shared" ca="1" si="4"/>
        <v>0</v>
      </c>
      <c r="V26" s="423">
        <f ca="1">IF($B26="","",K26/(POWER(1+'Qredits maandlasten'!$C$8/12,$B26-1+1)))</f>
        <v>0</v>
      </c>
      <c r="W26" s="422"/>
      <c r="X26" s="425"/>
      <c r="Y26" s="426"/>
    </row>
    <row r="27" spans="1:28" s="427" customFormat="1" x14ac:dyDescent="0.2">
      <c r="A27" s="418"/>
      <c r="B27" s="419">
        <f>IF($B26="","",IF($B26+1&gt;'Qredits maandlasten'!$C$7,"",Schema!B26+1))</f>
        <v>18</v>
      </c>
      <c r="C27" s="420">
        <f ca="1">IF($B26="","",IF($B26+1&gt;'Qredits maandlasten'!$C$7,"",EOMONTH(C26,0)+1))</f>
        <v>45717</v>
      </c>
      <c r="D27" s="418"/>
      <c r="E27" s="420">
        <f ca="1">IF($B26="","",IF($B26+1&gt;'Qredits maandlasten'!$C$7,"",F26+1))</f>
        <v>45689</v>
      </c>
      <c r="F27" s="420">
        <f ca="1">IF($B26="","",IF($B26+1&gt;'Qredits maandlasten'!$C$7,"",EOMONTH(C27,-1)))</f>
        <v>45716</v>
      </c>
      <c r="G27" s="421">
        <f ca="1">IF($B26="","",IF($B26+1&gt;'Qredits maandlasten'!$C$7,"",(_xlfn.DAYS(F27,E27)+1)/DAY(F27)))</f>
        <v>1</v>
      </c>
      <c r="H27" s="422"/>
      <c r="I27" s="423">
        <f ca="1">IF($B26="","",IF($B26+1&gt;'Qredits maandlasten'!$C$7,"",I26-J26))</f>
        <v>0</v>
      </c>
      <c r="J27" s="423">
        <f ca="1">IF($B26="","",IF($B26+1&gt;'Qredits maandlasten'!$C$7,"",IF(B26&lt;'Investering &amp; Financiering'!$E$52-1,0,IF('Qredits maandlasten'!$C$10="Lineair",'Qredits maandlasten'!$H$4,IF('Qredits maandlasten'!$C$10="Annuïteit",IFERROR('Qredits maandlasten'!$H$4-K27,0),0)))))</f>
        <v>0</v>
      </c>
      <c r="K27" s="423">
        <f ca="1">IF($B26="","",IF($B26+1&gt;'Qredits maandlasten'!$C$7,"",G27*I27*'Qredits maandlasten'!$C$8/12))</f>
        <v>0</v>
      </c>
      <c r="L27" s="423">
        <f t="shared" ca="1" si="2"/>
        <v>0</v>
      </c>
      <c r="M27" s="423">
        <f t="shared" ca="1" si="0"/>
        <v>0</v>
      </c>
      <c r="N27" s="422"/>
      <c r="O27" s="424">
        <f>IF($B27="","",'Qredits maandlasten'!$C$8/12)</f>
        <v>8.1250000000000003E-3</v>
      </c>
      <c r="P27" s="424">
        <f>IF($B27="","",'Qredits maandlasten'!$C$8/12*(POWER(1+'Qredits maandlasten'!$C$8/12,$B27-1+1)))</f>
        <v>9.3990139643837217E-3</v>
      </c>
      <c r="Q27" s="424">
        <f t="shared" ca="1" si="3"/>
        <v>0</v>
      </c>
      <c r="R27" s="422"/>
      <c r="S27" s="423">
        <f t="shared" ca="1" si="1"/>
        <v>0</v>
      </c>
      <c r="T27" s="423">
        <f ca="1">IF(S27="","",J27/(POWER(1+'Qredits maandlasten'!$C$8/12,$B27-1+1)))</f>
        <v>0</v>
      </c>
      <c r="U27" s="425">
        <f t="shared" ca="1" si="4"/>
        <v>0</v>
      </c>
      <c r="V27" s="423">
        <f ca="1">IF($B27="","",K27/(POWER(1+'Qredits maandlasten'!$C$8/12,$B27-1+1)))</f>
        <v>0</v>
      </c>
      <c r="W27" s="422"/>
      <c r="X27" s="425"/>
      <c r="Y27" s="429"/>
      <c r="Z27" s="429"/>
      <c r="AA27" s="429"/>
      <c r="AB27" s="429"/>
    </row>
    <row r="28" spans="1:28" s="427" customFormat="1" x14ac:dyDescent="0.2">
      <c r="A28" s="418"/>
      <c r="B28" s="419">
        <f>IF($B27="","",IF($B27+1&gt;'Qredits maandlasten'!$C$7,"",Schema!B27+1))</f>
        <v>19</v>
      </c>
      <c r="C28" s="420">
        <f ca="1">IF($B27="","",IF($B27+1&gt;'Qredits maandlasten'!$C$7,"",EOMONTH(C27,0)+1))</f>
        <v>45748</v>
      </c>
      <c r="D28" s="418"/>
      <c r="E28" s="420">
        <f ca="1">IF($B27="","",IF($B27+1&gt;'Qredits maandlasten'!$C$7,"",F27+1))</f>
        <v>45717</v>
      </c>
      <c r="F28" s="420">
        <f ca="1">IF($B27="","",IF($B27+1&gt;'Qredits maandlasten'!$C$7,"",EOMONTH(C28,-1)))</f>
        <v>45747</v>
      </c>
      <c r="G28" s="421">
        <f ca="1">IF($B27="","",IF($B27+1&gt;'Qredits maandlasten'!$C$7,"",(_xlfn.DAYS(F28,E28)+1)/DAY(F28)))</f>
        <v>1</v>
      </c>
      <c r="H28" s="422"/>
      <c r="I28" s="423">
        <f ca="1">IF($B27="","",IF($B27+1&gt;'Qredits maandlasten'!$C$7,"",I27-J27))</f>
        <v>0</v>
      </c>
      <c r="J28" s="423">
        <f ca="1">IF($B27="","",IF($B27+1&gt;'Qredits maandlasten'!$C$7,"",IF(B27&lt;'Investering &amp; Financiering'!$E$52-1,0,IF('Qredits maandlasten'!$C$10="Lineair",'Qredits maandlasten'!$H$4,IF('Qredits maandlasten'!$C$10="Annuïteit",IFERROR('Qredits maandlasten'!$H$4-K28,0),0)))))</f>
        <v>0</v>
      </c>
      <c r="K28" s="423">
        <f ca="1">IF($B27="","",IF($B27+1&gt;'Qredits maandlasten'!$C$7,"",G28*I28*'Qredits maandlasten'!$C$8/12))</f>
        <v>0</v>
      </c>
      <c r="L28" s="423">
        <f t="shared" ca="1" si="2"/>
        <v>0</v>
      </c>
      <c r="M28" s="423">
        <f t="shared" ca="1" si="0"/>
        <v>0</v>
      </c>
      <c r="N28" s="422"/>
      <c r="O28" s="424">
        <f>IF($B28="","",'Qredits maandlasten'!$C$8/12)</f>
        <v>8.1250000000000003E-3</v>
      </c>
      <c r="P28" s="424">
        <f>IF($B28="","",'Qredits maandlasten'!$C$8/12*(POWER(1+'Qredits maandlasten'!$C$8/12,$B28-1+1)))</f>
        <v>9.4753809528443384E-3</v>
      </c>
      <c r="Q28" s="424">
        <f t="shared" ca="1" si="3"/>
        <v>0</v>
      </c>
      <c r="R28" s="422"/>
      <c r="S28" s="423">
        <f t="shared" ca="1" si="1"/>
        <v>0</v>
      </c>
      <c r="T28" s="423">
        <f ca="1">IF(S28="","",J28/(POWER(1+'Qredits maandlasten'!$C$8/12,$B28-1+1)))</f>
        <v>0</v>
      </c>
      <c r="U28" s="425">
        <f t="shared" ca="1" si="4"/>
        <v>0</v>
      </c>
      <c r="V28" s="423">
        <f ca="1">IF($B28="","",K28/(POWER(1+'Qredits maandlasten'!$C$8/12,$B28-1+1)))</f>
        <v>0</v>
      </c>
      <c r="W28" s="422"/>
      <c r="X28" s="425"/>
      <c r="Y28" s="429"/>
      <c r="Z28" s="429"/>
      <c r="AA28" s="429"/>
      <c r="AB28" s="429"/>
    </row>
    <row r="29" spans="1:28" s="427" customFormat="1" x14ac:dyDescent="0.2">
      <c r="A29" s="418"/>
      <c r="B29" s="419">
        <f>IF($B28="","",IF($B28+1&gt;'Qredits maandlasten'!$C$7,"",Schema!B28+1))</f>
        <v>20</v>
      </c>
      <c r="C29" s="420">
        <f ca="1">IF($B28="","",IF($B28+1&gt;'Qredits maandlasten'!$C$7,"",EOMONTH(C28,0)+1))</f>
        <v>45778</v>
      </c>
      <c r="D29" s="418"/>
      <c r="E29" s="420">
        <f ca="1">IF($B28="","",IF($B28+1&gt;'Qredits maandlasten'!$C$7,"",F28+1))</f>
        <v>45748</v>
      </c>
      <c r="F29" s="420">
        <f ca="1">IF($B28="","",IF($B28+1&gt;'Qredits maandlasten'!$C$7,"",EOMONTH(C29,-1)))</f>
        <v>45777</v>
      </c>
      <c r="G29" s="421">
        <f ca="1">IF($B28="","",IF($B28+1&gt;'Qredits maandlasten'!$C$7,"",(_xlfn.DAYS(F29,E29)+1)/DAY(F29)))</f>
        <v>1</v>
      </c>
      <c r="H29" s="422"/>
      <c r="I29" s="423">
        <f ca="1">IF($B28="","",IF($B28+1&gt;'Qredits maandlasten'!$C$7,"",I28-J28))</f>
        <v>0</v>
      </c>
      <c r="J29" s="423">
        <f ca="1">IF($B28="","",IF($B28+1&gt;'Qredits maandlasten'!$C$7,"",IF(B28&lt;'Investering &amp; Financiering'!$E$52-1,0,IF('Qredits maandlasten'!$C$10="Lineair",'Qredits maandlasten'!$H$4,IF('Qredits maandlasten'!$C$10="Annuïteit",IFERROR('Qredits maandlasten'!$H$4-K29,0),0)))))</f>
        <v>0</v>
      </c>
      <c r="K29" s="423">
        <f ca="1">IF($B28="","",IF($B28+1&gt;'Qredits maandlasten'!$C$7,"",G29*I29*'Qredits maandlasten'!$C$8/12))</f>
        <v>0</v>
      </c>
      <c r="L29" s="423">
        <f t="shared" ca="1" si="2"/>
        <v>0</v>
      </c>
      <c r="M29" s="423">
        <f t="shared" ca="1" si="0"/>
        <v>0</v>
      </c>
      <c r="N29" s="422"/>
      <c r="O29" s="424">
        <f>IF($B29="","",'Qredits maandlasten'!$C$8/12)</f>
        <v>8.1250000000000003E-3</v>
      </c>
      <c r="P29" s="424">
        <f>IF($B29="","",'Qredits maandlasten'!$C$8/12*(POWER(1+'Qredits maandlasten'!$C$8/12,$B29-1+1)))</f>
        <v>9.5523684230861983E-3</v>
      </c>
      <c r="Q29" s="424">
        <f t="shared" ca="1" si="3"/>
        <v>0</v>
      </c>
      <c r="R29" s="422"/>
      <c r="S29" s="423">
        <f t="shared" ca="1" si="1"/>
        <v>0</v>
      </c>
      <c r="T29" s="423">
        <f ca="1">IF(S29="","",J29/(POWER(1+'Qredits maandlasten'!$C$8/12,$B29-1+1)))</f>
        <v>0</v>
      </c>
      <c r="U29" s="425">
        <f t="shared" ca="1" si="4"/>
        <v>0</v>
      </c>
      <c r="V29" s="423">
        <f ca="1">IF($B29="","",K29/(POWER(1+'Qredits maandlasten'!$C$8/12,$B29-1+1)))</f>
        <v>0</v>
      </c>
      <c r="W29" s="422"/>
      <c r="X29" s="425"/>
      <c r="Y29" s="429"/>
      <c r="Z29" s="429"/>
      <c r="AA29" s="429"/>
      <c r="AB29" s="429">
        <v>9.2244933777033133E-3</v>
      </c>
    </row>
    <row r="30" spans="1:28" s="427" customFormat="1" x14ac:dyDescent="0.2">
      <c r="A30" s="418"/>
      <c r="B30" s="419">
        <f>IF($B29="","",IF($B29+1&gt;'Qredits maandlasten'!$C$7,"",Schema!B29+1))</f>
        <v>21</v>
      </c>
      <c r="C30" s="420">
        <f ca="1">IF($B29="","",IF($B29+1&gt;'Qredits maandlasten'!$C$7,"",EOMONTH(C29,0)+1))</f>
        <v>45809</v>
      </c>
      <c r="D30" s="418"/>
      <c r="E30" s="420">
        <f ca="1">IF($B29="","",IF($B29+1&gt;'Qredits maandlasten'!$C$7,"",F29+1))</f>
        <v>45778</v>
      </c>
      <c r="F30" s="420">
        <f ca="1">IF($B29="","",IF($B29+1&gt;'Qredits maandlasten'!$C$7,"",EOMONTH(C30,-1)))</f>
        <v>45808</v>
      </c>
      <c r="G30" s="421">
        <f ca="1">IF($B29="","",IF($B29+1&gt;'Qredits maandlasten'!$C$7,"",(_xlfn.DAYS(F30,E30)+1)/DAY(F30)))</f>
        <v>1</v>
      </c>
      <c r="H30" s="422"/>
      <c r="I30" s="423">
        <f ca="1">IF($B29="","",IF($B29+1&gt;'Qredits maandlasten'!$C$7,"",I29-J29))</f>
        <v>0</v>
      </c>
      <c r="J30" s="423">
        <f ca="1">IF($B29="","",IF($B29+1&gt;'Qredits maandlasten'!$C$7,"",IF(B29&lt;'Investering &amp; Financiering'!$E$52-1,0,IF('Qredits maandlasten'!$C$10="Lineair",'Qredits maandlasten'!$H$4,IF('Qredits maandlasten'!$C$10="Annuïteit",IFERROR('Qredits maandlasten'!$H$4-K30,0),0)))))</f>
        <v>0</v>
      </c>
      <c r="K30" s="423">
        <f ca="1">IF($B29="","",IF($B29+1&gt;'Qredits maandlasten'!$C$7,"",G30*I30*'Qredits maandlasten'!$C$8/12))</f>
        <v>0</v>
      </c>
      <c r="L30" s="423">
        <f t="shared" ca="1" si="2"/>
        <v>0</v>
      </c>
      <c r="M30" s="423">
        <f t="shared" ca="1" si="0"/>
        <v>0</v>
      </c>
      <c r="N30" s="422"/>
      <c r="O30" s="424">
        <f>IF($B30="","",'Qredits maandlasten'!$C$8/12)</f>
        <v>8.1250000000000003E-3</v>
      </c>
      <c r="P30" s="424">
        <f>IF($B30="","",'Qredits maandlasten'!$C$8/12*(POWER(1+'Qredits maandlasten'!$C$8/12,$B30-1+1)))</f>
        <v>9.6299814165237731E-3</v>
      </c>
      <c r="Q30" s="424">
        <f t="shared" ca="1" si="3"/>
        <v>0</v>
      </c>
      <c r="R30" s="422"/>
      <c r="S30" s="423">
        <f t="shared" ca="1" si="1"/>
        <v>0</v>
      </c>
      <c r="T30" s="423">
        <f ca="1">IF(S30="","",J30/(POWER(1+'Qredits maandlasten'!$C$8/12,$B30-1+1)))</f>
        <v>0</v>
      </c>
      <c r="U30" s="425">
        <f t="shared" ca="1" si="4"/>
        <v>0</v>
      </c>
      <c r="V30" s="423">
        <f ca="1">IF($B30="","",K30/(POWER(1+'Qredits maandlasten'!$C$8/12,$B30-1+1)))</f>
        <v>0</v>
      </c>
      <c r="W30" s="422"/>
      <c r="X30" s="425"/>
      <c r="Y30" s="426"/>
    </row>
    <row r="31" spans="1:28" s="427" customFormat="1" x14ac:dyDescent="0.2">
      <c r="A31" s="418"/>
      <c r="B31" s="419">
        <f>IF($B30="","",IF($B30+1&gt;'Qredits maandlasten'!$C$7,"",Schema!B30+1))</f>
        <v>22</v>
      </c>
      <c r="C31" s="420">
        <f ca="1">IF($B30="","",IF($B30+1&gt;'Qredits maandlasten'!$C$7,"",EOMONTH(C30,0)+1))</f>
        <v>45839</v>
      </c>
      <c r="D31" s="418"/>
      <c r="E31" s="420">
        <f ca="1">IF($B30="","",IF($B30+1&gt;'Qredits maandlasten'!$C$7,"",F30+1))</f>
        <v>45809</v>
      </c>
      <c r="F31" s="420">
        <f ca="1">IF($B30="","",IF($B30+1&gt;'Qredits maandlasten'!$C$7,"",EOMONTH(C31,-1)))</f>
        <v>45838</v>
      </c>
      <c r="G31" s="421">
        <f ca="1">IF($B30="","",IF($B30+1&gt;'Qredits maandlasten'!$C$7,"",(_xlfn.DAYS(F31,E31)+1)/DAY(F31)))</f>
        <v>1</v>
      </c>
      <c r="H31" s="422"/>
      <c r="I31" s="423">
        <f ca="1">IF($B30="","",IF($B30+1&gt;'Qredits maandlasten'!$C$7,"",I30-J30))</f>
        <v>0</v>
      </c>
      <c r="J31" s="423">
        <f ca="1">IF($B30="","",IF($B30+1&gt;'Qredits maandlasten'!$C$7,"",IF(B30&lt;'Investering &amp; Financiering'!$E$52-1,0,IF('Qredits maandlasten'!$C$10="Lineair",'Qredits maandlasten'!$H$4,IF('Qredits maandlasten'!$C$10="Annuïteit",IFERROR('Qredits maandlasten'!$H$4-K31,0),0)))))</f>
        <v>0</v>
      </c>
      <c r="K31" s="423">
        <f ca="1">IF($B30="","",IF($B30+1&gt;'Qredits maandlasten'!$C$7,"",G31*I31*'Qredits maandlasten'!$C$8/12))</f>
        <v>0</v>
      </c>
      <c r="L31" s="423">
        <f t="shared" ca="1" si="2"/>
        <v>0</v>
      </c>
      <c r="M31" s="423">
        <f t="shared" ca="1" si="0"/>
        <v>0</v>
      </c>
      <c r="N31" s="422"/>
      <c r="O31" s="424">
        <f>IF($B31="","",'Qredits maandlasten'!$C$8/12)</f>
        <v>8.1250000000000003E-3</v>
      </c>
      <c r="P31" s="424">
        <f>IF($B31="","",'Qredits maandlasten'!$C$8/12*(POWER(1+'Qredits maandlasten'!$C$8/12,$B31-1+1)))</f>
        <v>9.7082250155330306E-3</v>
      </c>
      <c r="Q31" s="424">
        <f t="shared" ca="1" si="3"/>
        <v>0</v>
      </c>
      <c r="R31" s="422"/>
      <c r="S31" s="423">
        <f t="shared" ca="1" si="1"/>
        <v>0</v>
      </c>
      <c r="T31" s="423">
        <f ca="1">IF(S31="","",J31/(POWER(1+'Qredits maandlasten'!$C$8/12,$B31-1+1)))</f>
        <v>0</v>
      </c>
      <c r="U31" s="425">
        <f t="shared" ca="1" si="4"/>
        <v>0</v>
      </c>
      <c r="V31" s="423">
        <f ca="1">IF($B31="","",K31/(POWER(1+'Qredits maandlasten'!$C$8/12,$B31-1+1)))</f>
        <v>0</v>
      </c>
      <c r="W31" s="422"/>
      <c r="X31" s="425"/>
      <c r="Y31" s="428"/>
    </row>
    <row r="32" spans="1:28" s="427" customFormat="1" x14ac:dyDescent="0.2">
      <c r="A32" s="418"/>
      <c r="B32" s="419">
        <f>IF($B31="","",IF($B31+1&gt;'Qredits maandlasten'!$C$7,"",Schema!B31+1))</f>
        <v>23</v>
      </c>
      <c r="C32" s="420">
        <f ca="1">IF($B31="","",IF($B31+1&gt;'Qredits maandlasten'!$C$7,"",EOMONTH(C31,0)+1))</f>
        <v>45870</v>
      </c>
      <c r="D32" s="418"/>
      <c r="E32" s="420">
        <f ca="1">IF($B31="","",IF($B31+1&gt;'Qredits maandlasten'!$C$7,"",F31+1))</f>
        <v>45839</v>
      </c>
      <c r="F32" s="420">
        <f ca="1">IF($B31="","",IF($B31+1&gt;'Qredits maandlasten'!$C$7,"",EOMONTH(C32,-1)))</f>
        <v>45869</v>
      </c>
      <c r="G32" s="421">
        <f ca="1">IF($B31="","",IF($B31+1&gt;'Qredits maandlasten'!$C$7,"",(_xlfn.DAYS(F32,E32)+1)/DAY(F32)))</f>
        <v>1</v>
      </c>
      <c r="H32" s="422"/>
      <c r="I32" s="423">
        <f ca="1">IF($B31="","",IF($B31+1&gt;'Qredits maandlasten'!$C$7,"",I31-J31))</f>
        <v>0</v>
      </c>
      <c r="J32" s="423">
        <f ca="1">IF($B31="","",IF($B31+1&gt;'Qredits maandlasten'!$C$7,"",IF(B31&lt;'Investering &amp; Financiering'!$E$52-1,0,IF('Qredits maandlasten'!$C$10="Lineair",'Qredits maandlasten'!$H$4,IF('Qredits maandlasten'!$C$10="Annuïteit",IFERROR('Qredits maandlasten'!$H$4-K32,0),0)))))</f>
        <v>0</v>
      </c>
      <c r="K32" s="423">
        <f ca="1">IF($B31="","",IF($B31+1&gt;'Qredits maandlasten'!$C$7,"",G32*I32*'Qredits maandlasten'!$C$8/12))</f>
        <v>0</v>
      </c>
      <c r="L32" s="423">
        <f t="shared" ca="1" si="2"/>
        <v>0</v>
      </c>
      <c r="M32" s="423">
        <f t="shared" ca="1" si="0"/>
        <v>0</v>
      </c>
      <c r="N32" s="422"/>
      <c r="O32" s="424">
        <f>IF($B32="","",'Qredits maandlasten'!$C$8/12)</f>
        <v>8.1250000000000003E-3</v>
      </c>
      <c r="P32" s="424">
        <f>IF($B32="","",'Qredits maandlasten'!$C$8/12*(POWER(1+'Qredits maandlasten'!$C$8/12,$B32-1+1)))</f>
        <v>9.7871043437842333E-3</v>
      </c>
      <c r="Q32" s="424">
        <f t="shared" ca="1" si="3"/>
        <v>0</v>
      </c>
      <c r="R32" s="422"/>
      <c r="S32" s="423">
        <f t="shared" ca="1" si="1"/>
        <v>0</v>
      </c>
      <c r="T32" s="423">
        <f ca="1">IF(S32="","",J32/(POWER(1+'Qredits maandlasten'!$C$8/12,$B32-1+1)))</f>
        <v>0</v>
      </c>
      <c r="U32" s="425">
        <f t="shared" ca="1" si="4"/>
        <v>0</v>
      </c>
      <c r="V32" s="423">
        <f ca="1">IF($B32="","",K32/(POWER(1+'Qredits maandlasten'!$C$8/12,$B32-1+1)))</f>
        <v>0</v>
      </c>
      <c r="W32" s="422"/>
      <c r="X32" s="425"/>
      <c r="Y32" s="426"/>
    </row>
    <row r="33" spans="1:25" s="427" customFormat="1" x14ac:dyDescent="0.2">
      <c r="A33" s="418"/>
      <c r="B33" s="419">
        <f>IF($B32="","",IF($B32+1&gt;'Qredits maandlasten'!$C$7,"",Schema!B32+1))</f>
        <v>24</v>
      </c>
      <c r="C33" s="420">
        <f ca="1">IF($B32="","",IF($B32+1&gt;'Qredits maandlasten'!$C$7,"",EOMONTH(C32,0)+1))</f>
        <v>45901</v>
      </c>
      <c r="D33" s="418"/>
      <c r="E33" s="420">
        <f ca="1">IF($B32="","",IF($B32+1&gt;'Qredits maandlasten'!$C$7,"",F32+1))</f>
        <v>45870</v>
      </c>
      <c r="F33" s="420">
        <f ca="1">IF($B32="","",IF($B32+1&gt;'Qredits maandlasten'!$C$7,"",EOMONTH(C33,-1)))</f>
        <v>45900</v>
      </c>
      <c r="G33" s="421">
        <f ca="1">IF($B32="","",IF($B32+1&gt;'Qredits maandlasten'!$C$7,"",(_xlfn.DAYS(F33,E33)+1)/DAY(F33)))</f>
        <v>1</v>
      </c>
      <c r="H33" s="422"/>
      <c r="I33" s="423">
        <f ca="1">IF($B32="","",IF($B32+1&gt;'Qredits maandlasten'!$C$7,"",I32-J32))</f>
        <v>0</v>
      </c>
      <c r="J33" s="423">
        <f ca="1">IF($B32="","",IF($B32+1&gt;'Qredits maandlasten'!$C$7,"",IF(B32&lt;'Investering &amp; Financiering'!$E$52-1,0,IF('Qredits maandlasten'!$C$10="Lineair",'Qredits maandlasten'!$H$4,IF('Qredits maandlasten'!$C$10="Annuïteit",IFERROR('Qredits maandlasten'!$H$4-K33,0),0)))))</f>
        <v>0</v>
      </c>
      <c r="K33" s="423">
        <f ca="1">IF($B32="","",IF($B32+1&gt;'Qredits maandlasten'!$C$7,"",G33*I33*'Qredits maandlasten'!$C$8/12))</f>
        <v>0</v>
      </c>
      <c r="L33" s="423">
        <f t="shared" ca="1" si="2"/>
        <v>0</v>
      </c>
      <c r="M33" s="423">
        <f t="shared" ca="1" si="0"/>
        <v>0</v>
      </c>
      <c r="N33" s="422"/>
      <c r="O33" s="424">
        <f>IF($B33="","",'Qredits maandlasten'!$C$8/12)</f>
        <v>8.1250000000000003E-3</v>
      </c>
      <c r="P33" s="424">
        <f>IF($B33="","",'Qredits maandlasten'!$C$8/12*(POWER(1+'Qredits maandlasten'!$C$8/12,$B33-1+1)))</f>
        <v>9.866624566577482E-3</v>
      </c>
      <c r="Q33" s="424">
        <f t="shared" ca="1" si="3"/>
        <v>0</v>
      </c>
      <c r="R33" s="422"/>
      <c r="S33" s="423">
        <f t="shared" ca="1" si="1"/>
        <v>0</v>
      </c>
      <c r="T33" s="423">
        <f ca="1">IF(S33="","",J33/(POWER(1+'Qredits maandlasten'!$C$8/12,$B33-1+1)))</f>
        <v>0</v>
      </c>
      <c r="U33" s="425">
        <f t="shared" ca="1" si="4"/>
        <v>0</v>
      </c>
      <c r="V33" s="423">
        <f ca="1">IF($B33="","",K33/(POWER(1+'Qredits maandlasten'!$C$8/12,$B33-1+1)))</f>
        <v>0</v>
      </c>
      <c r="W33" s="422"/>
      <c r="X33" s="425"/>
      <c r="Y33" s="426"/>
    </row>
    <row r="34" spans="1:25" s="427" customFormat="1" x14ac:dyDescent="0.2">
      <c r="A34" s="418"/>
      <c r="B34" s="419">
        <f>IF($B33="","",IF($B33+1&gt;'Qredits maandlasten'!$C$7,"",Schema!B33+1))</f>
        <v>25</v>
      </c>
      <c r="C34" s="420">
        <f ca="1">IF($B33="","",IF($B33+1&gt;'Qredits maandlasten'!$C$7,"",EOMONTH(C33,0)+1))</f>
        <v>45931</v>
      </c>
      <c r="D34" s="418"/>
      <c r="E34" s="420">
        <f ca="1">IF($B33="","",IF($B33+1&gt;'Qredits maandlasten'!$C$7,"",F33+1))</f>
        <v>45901</v>
      </c>
      <c r="F34" s="420">
        <f ca="1">IF($B33="","",IF($B33+1&gt;'Qredits maandlasten'!$C$7,"",EOMONTH(C34,-1)))</f>
        <v>45930</v>
      </c>
      <c r="G34" s="421">
        <f ca="1">IF($B33="","",IF($B33+1&gt;'Qredits maandlasten'!$C$7,"",(_xlfn.DAYS(F34,E34)+1)/DAY(F34)))</f>
        <v>1</v>
      </c>
      <c r="H34" s="422"/>
      <c r="I34" s="423">
        <f ca="1">IF($B33="","",IF($B33+1&gt;'Qredits maandlasten'!$C$7,"",I33-J33))</f>
        <v>0</v>
      </c>
      <c r="J34" s="423">
        <f ca="1">IF($B33="","",IF($B33+1&gt;'Qredits maandlasten'!$C$7,"",IF(B33&lt;'Investering &amp; Financiering'!$E$52-1,0,IF('Qredits maandlasten'!$C$10="Lineair",'Qredits maandlasten'!$H$4,IF('Qredits maandlasten'!$C$10="Annuïteit",IFERROR('Qredits maandlasten'!$H$4-K34,0),0)))))</f>
        <v>0</v>
      </c>
      <c r="K34" s="423">
        <f ca="1">IF($B33="","",IF($B33+1&gt;'Qredits maandlasten'!$C$7,"",G34*I34*'Qredits maandlasten'!$C$8/12))</f>
        <v>0</v>
      </c>
      <c r="L34" s="423">
        <f t="shared" ca="1" si="2"/>
        <v>0</v>
      </c>
      <c r="M34" s="423">
        <f t="shared" ca="1" si="0"/>
        <v>0</v>
      </c>
      <c r="N34" s="422"/>
      <c r="O34" s="424">
        <f>IF($B34="","",'Qredits maandlasten'!$C$8/12)</f>
        <v>8.1250000000000003E-3</v>
      </c>
      <c r="P34" s="424">
        <f>IF($B34="","",'Qredits maandlasten'!$C$8/12*(POWER(1+'Qredits maandlasten'!$C$8/12,$B34-1+1)))</f>
        <v>9.946790891180923E-3</v>
      </c>
      <c r="Q34" s="424">
        <f t="shared" ca="1" si="3"/>
        <v>0</v>
      </c>
      <c r="R34" s="422"/>
      <c r="S34" s="423">
        <f t="shared" ca="1" si="1"/>
        <v>0</v>
      </c>
      <c r="T34" s="423">
        <f ca="1">IF(S34="","",J34/(POWER(1+'Qredits maandlasten'!$C$8/12,$B34-1+1)))</f>
        <v>0</v>
      </c>
      <c r="U34" s="425">
        <f t="shared" ca="1" si="4"/>
        <v>0</v>
      </c>
      <c r="V34" s="423">
        <f ca="1">IF($B34="","",K34/(POWER(1+'Qredits maandlasten'!$C$8/12,$B34-1+1)))</f>
        <v>0</v>
      </c>
      <c r="W34" s="422"/>
      <c r="X34" s="425"/>
      <c r="Y34" s="426"/>
    </row>
    <row r="35" spans="1:25" s="427" customFormat="1" x14ac:dyDescent="0.2">
      <c r="A35" s="418"/>
      <c r="B35" s="419">
        <f>IF($B34="","",IF($B34+1&gt;'Qredits maandlasten'!$C$7,"",Schema!B34+1))</f>
        <v>26</v>
      </c>
      <c r="C35" s="420">
        <f ca="1">IF($B34="","",IF($B34+1&gt;'Qredits maandlasten'!$C$7,"",EOMONTH(C34,0)+1))</f>
        <v>45962</v>
      </c>
      <c r="D35" s="418"/>
      <c r="E35" s="420">
        <f ca="1">IF($B34="","",IF($B34+1&gt;'Qredits maandlasten'!$C$7,"",F34+1))</f>
        <v>45931</v>
      </c>
      <c r="F35" s="420">
        <f ca="1">IF($B34="","",IF($B34+1&gt;'Qredits maandlasten'!$C$7,"",EOMONTH(C35,-1)))</f>
        <v>45961</v>
      </c>
      <c r="G35" s="421">
        <f ca="1">IF($B34="","",IF($B34+1&gt;'Qredits maandlasten'!$C$7,"",(_xlfn.DAYS(F35,E35)+1)/DAY(F35)))</f>
        <v>1</v>
      </c>
      <c r="H35" s="422"/>
      <c r="I35" s="423">
        <f ca="1">IF($B34="","",IF($B34+1&gt;'Qredits maandlasten'!$C$7,"",I34-J34))</f>
        <v>0</v>
      </c>
      <c r="J35" s="423">
        <f ca="1">IF($B34="","",IF($B34+1&gt;'Qredits maandlasten'!$C$7,"",IF(B34&lt;'Investering &amp; Financiering'!$E$52-1,0,IF('Qredits maandlasten'!$C$10="Lineair",'Qredits maandlasten'!$H$4,IF('Qredits maandlasten'!$C$10="Annuïteit",IFERROR('Qredits maandlasten'!$H$4-K35,0),0)))))</f>
        <v>0</v>
      </c>
      <c r="K35" s="423">
        <f ca="1">IF($B34="","",IF($B34+1&gt;'Qredits maandlasten'!$C$7,"",G35*I35*'Qredits maandlasten'!$C$8/12))</f>
        <v>0</v>
      </c>
      <c r="L35" s="423">
        <f t="shared" ca="1" si="2"/>
        <v>0</v>
      </c>
      <c r="M35" s="423">
        <f t="shared" ca="1" si="0"/>
        <v>0</v>
      </c>
      <c r="N35" s="422"/>
      <c r="O35" s="424">
        <f>IF($B35="","",'Qredits maandlasten'!$C$8/12)</f>
        <v>8.1250000000000003E-3</v>
      </c>
      <c r="P35" s="424">
        <f>IF($B35="","",'Qredits maandlasten'!$C$8/12*(POWER(1+'Qredits maandlasten'!$C$8/12,$B35-1+1)))</f>
        <v>1.0027608567171768E-2</v>
      </c>
      <c r="Q35" s="424">
        <f t="shared" ca="1" si="3"/>
        <v>0</v>
      </c>
      <c r="R35" s="422"/>
      <c r="S35" s="423">
        <f t="shared" ca="1" si="1"/>
        <v>0</v>
      </c>
      <c r="T35" s="423">
        <f ca="1">IF(S35="","",J35/(POWER(1+'Qredits maandlasten'!$C$8/12,$B35-1+1)))</f>
        <v>0</v>
      </c>
      <c r="U35" s="425">
        <f t="shared" ca="1" si="4"/>
        <v>0</v>
      </c>
      <c r="V35" s="423">
        <f ca="1">IF($B35="","",K35/(POWER(1+'Qredits maandlasten'!$C$8/12,$B35-1+1)))</f>
        <v>0</v>
      </c>
      <c r="W35" s="422"/>
      <c r="X35" s="425"/>
      <c r="Y35" s="426"/>
    </row>
    <row r="36" spans="1:25" s="427" customFormat="1" x14ac:dyDescent="0.2">
      <c r="A36" s="418"/>
      <c r="B36" s="419">
        <f>IF($B35="","",IF($B35+1&gt;'Qredits maandlasten'!$C$7,"",Schema!B35+1))</f>
        <v>27</v>
      </c>
      <c r="C36" s="420">
        <f ca="1">IF($B35="","",IF($B35+1&gt;'Qredits maandlasten'!$C$7,"",EOMONTH(C35,0)+1))</f>
        <v>45992</v>
      </c>
      <c r="D36" s="418"/>
      <c r="E36" s="420">
        <f ca="1">IF($B35="","",IF($B35+1&gt;'Qredits maandlasten'!$C$7,"",F35+1))</f>
        <v>45962</v>
      </c>
      <c r="F36" s="420">
        <f ca="1">IF($B35="","",IF($B35+1&gt;'Qredits maandlasten'!$C$7,"",EOMONTH(C36,-1)))</f>
        <v>45991</v>
      </c>
      <c r="G36" s="421">
        <f ca="1">IF($B35="","",IF($B35+1&gt;'Qredits maandlasten'!$C$7,"",(_xlfn.DAYS(F36,E36)+1)/DAY(F36)))</f>
        <v>1</v>
      </c>
      <c r="H36" s="422"/>
      <c r="I36" s="423">
        <f ca="1">IF($B35="","",IF($B35+1&gt;'Qredits maandlasten'!$C$7,"",I35-J35))</f>
        <v>0</v>
      </c>
      <c r="J36" s="423">
        <f ca="1">IF($B35="","",IF($B35+1&gt;'Qredits maandlasten'!$C$7,"",IF(B35&lt;'Investering &amp; Financiering'!$E$52-1,0,IF('Qredits maandlasten'!$C$10="Lineair",'Qredits maandlasten'!$H$4,IF('Qredits maandlasten'!$C$10="Annuïteit",IFERROR('Qredits maandlasten'!$H$4-K36,0),0)))))</f>
        <v>0</v>
      </c>
      <c r="K36" s="423">
        <f ca="1">IF($B35="","",IF($B35+1&gt;'Qredits maandlasten'!$C$7,"",G36*I36*'Qredits maandlasten'!$C$8/12))</f>
        <v>0</v>
      </c>
      <c r="L36" s="423">
        <f t="shared" ca="1" si="2"/>
        <v>0</v>
      </c>
      <c r="M36" s="423">
        <f t="shared" ca="1" si="0"/>
        <v>0</v>
      </c>
      <c r="N36" s="422"/>
      <c r="O36" s="424">
        <f>IF($B36="","",'Qredits maandlasten'!$C$8/12)</f>
        <v>8.1250000000000003E-3</v>
      </c>
      <c r="P36" s="424">
        <f>IF($B36="","",'Qredits maandlasten'!$C$8/12*(POWER(1+'Qredits maandlasten'!$C$8/12,$B36-1+1)))</f>
        <v>1.0109082886780037E-2</v>
      </c>
      <c r="Q36" s="424">
        <f t="shared" ca="1" si="3"/>
        <v>0</v>
      </c>
      <c r="R36" s="422"/>
      <c r="S36" s="423">
        <f t="shared" ca="1" si="1"/>
        <v>0</v>
      </c>
      <c r="T36" s="423">
        <f ca="1">IF(S36="","",J36/(POWER(1+'Qredits maandlasten'!$C$8/12,$B36-1+1)))</f>
        <v>0</v>
      </c>
      <c r="U36" s="425">
        <f t="shared" ca="1" si="4"/>
        <v>0</v>
      </c>
      <c r="V36" s="423">
        <f ca="1">IF($B36="","",K36/(POWER(1+'Qredits maandlasten'!$C$8/12,$B36-1+1)))</f>
        <v>0</v>
      </c>
      <c r="W36" s="422"/>
      <c r="X36" s="425"/>
      <c r="Y36" s="426"/>
    </row>
    <row r="37" spans="1:25" s="427" customFormat="1" x14ac:dyDescent="0.2">
      <c r="A37" s="418"/>
      <c r="B37" s="419">
        <f>IF($B36="","",IF($B36+1&gt;'Qredits maandlasten'!$C$7,"",Schema!B36+1))</f>
        <v>28</v>
      </c>
      <c r="C37" s="420">
        <f ca="1">IF($B36="","",IF($B36+1&gt;'Qredits maandlasten'!$C$7,"",EOMONTH(C36,0)+1))</f>
        <v>46023</v>
      </c>
      <c r="D37" s="418"/>
      <c r="E37" s="420">
        <f ca="1">IF($B36="","",IF($B36+1&gt;'Qredits maandlasten'!$C$7,"",F36+1))</f>
        <v>45992</v>
      </c>
      <c r="F37" s="420">
        <f ca="1">IF($B36="","",IF($B36+1&gt;'Qredits maandlasten'!$C$7,"",EOMONTH(C37,-1)))</f>
        <v>46022</v>
      </c>
      <c r="G37" s="421">
        <f ca="1">IF($B36="","",IF($B36+1&gt;'Qredits maandlasten'!$C$7,"",(_xlfn.DAYS(F37,E37)+1)/DAY(F37)))</f>
        <v>1</v>
      </c>
      <c r="H37" s="422"/>
      <c r="I37" s="423">
        <f ca="1">IF($B36="","",IF($B36+1&gt;'Qredits maandlasten'!$C$7,"",I36-J36))</f>
        <v>0</v>
      </c>
      <c r="J37" s="423">
        <f ca="1">IF($B36="","",IF($B36+1&gt;'Qredits maandlasten'!$C$7,"",IF(B36&lt;'Investering &amp; Financiering'!$E$52-1,0,IF('Qredits maandlasten'!$C$10="Lineair",'Qredits maandlasten'!$H$4,IF('Qredits maandlasten'!$C$10="Annuïteit",IFERROR('Qredits maandlasten'!$H$4-K37,0),0)))))</f>
        <v>0</v>
      </c>
      <c r="K37" s="423">
        <f ca="1">IF($B36="","",IF($B36+1&gt;'Qredits maandlasten'!$C$7,"",G37*I37*'Qredits maandlasten'!$C$8/12))</f>
        <v>0</v>
      </c>
      <c r="L37" s="423">
        <f t="shared" ca="1" si="2"/>
        <v>0</v>
      </c>
      <c r="M37" s="423">
        <f t="shared" ca="1" si="0"/>
        <v>0</v>
      </c>
      <c r="N37" s="422"/>
      <c r="O37" s="424">
        <f>IF($B37="","",'Qredits maandlasten'!$C$8/12)</f>
        <v>8.1250000000000003E-3</v>
      </c>
      <c r="P37" s="424">
        <f>IF($B37="","",'Qredits maandlasten'!$C$8/12*(POWER(1+'Qredits maandlasten'!$C$8/12,$B37-1+1)))</f>
        <v>1.0191219185235125E-2</v>
      </c>
      <c r="Q37" s="424">
        <f t="shared" ca="1" si="3"/>
        <v>0</v>
      </c>
      <c r="R37" s="422"/>
      <c r="S37" s="423">
        <f t="shared" ca="1" si="1"/>
        <v>0</v>
      </c>
      <c r="T37" s="423">
        <f ca="1">IF(S37="","",J37/(POWER(1+'Qredits maandlasten'!$C$8/12,$B37-1+1)))</f>
        <v>0</v>
      </c>
      <c r="U37" s="425">
        <f t="shared" ca="1" si="4"/>
        <v>0</v>
      </c>
      <c r="V37" s="423">
        <f ca="1">IF($B37="","",K37/(POWER(1+'Qredits maandlasten'!$C$8/12,$B37-1+1)))</f>
        <v>0</v>
      </c>
      <c r="W37" s="422"/>
      <c r="X37" s="425"/>
      <c r="Y37" s="426"/>
    </row>
    <row r="38" spans="1:25" s="427" customFormat="1" x14ac:dyDescent="0.2">
      <c r="A38" s="418"/>
      <c r="B38" s="419">
        <f>IF($B37="","",IF($B37+1&gt;'Qredits maandlasten'!$C$7,"",Schema!B37+1))</f>
        <v>29</v>
      </c>
      <c r="C38" s="420">
        <f ca="1">IF($B37="","",IF($B37+1&gt;'Qredits maandlasten'!$C$7,"",EOMONTH(C37,0)+1))</f>
        <v>46054</v>
      </c>
      <c r="D38" s="418"/>
      <c r="E38" s="420">
        <f ca="1">IF($B37="","",IF($B37+1&gt;'Qredits maandlasten'!$C$7,"",F37+1))</f>
        <v>46023</v>
      </c>
      <c r="F38" s="420">
        <f ca="1">IF($B37="","",IF($B37+1&gt;'Qredits maandlasten'!$C$7,"",EOMONTH(C38,-1)))</f>
        <v>46053</v>
      </c>
      <c r="G38" s="421">
        <f ca="1">IF($B37="","",IF($B37+1&gt;'Qredits maandlasten'!$C$7,"",(_xlfn.DAYS(F38,E38)+1)/DAY(F38)))</f>
        <v>1</v>
      </c>
      <c r="H38" s="422"/>
      <c r="I38" s="423">
        <f ca="1">IF($B37="","",IF($B37+1&gt;'Qredits maandlasten'!$C$7,"",I37-J37))</f>
        <v>0</v>
      </c>
      <c r="J38" s="423">
        <f ca="1">IF($B37="","",IF($B37+1&gt;'Qredits maandlasten'!$C$7,"",IF(B37&lt;'Investering &amp; Financiering'!$E$52-1,0,IF('Qredits maandlasten'!$C$10="Lineair",'Qredits maandlasten'!$H$4,IF('Qredits maandlasten'!$C$10="Annuïteit",IFERROR('Qredits maandlasten'!$H$4-K38,0),0)))))</f>
        <v>0</v>
      </c>
      <c r="K38" s="423">
        <f ca="1">IF($B37="","",IF($B37+1&gt;'Qredits maandlasten'!$C$7,"",G38*I38*'Qredits maandlasten'!$C$8/12))</f>
        <v>0</v>
      </c>
      <c r="L38" s="423">
        <f t="shared" ca="1" si="2"/>
        <v>0</v>
      </c>
      <c r="M38" s="423">
        <f t="shared" ca="1" si="0"/>
        <v>0</v>
      </c>
      <c r="N38" s="422"/>
      <c r="O38" s="424">
        <f>IF($B38="","",'Qredits maandlasten'!$C$8/12)</f>
        <v>8.1250000000000003E-3</v>
      </c>
      <c r="P38" s="424">
        <f>IF($B38="","",'Qredits maandlasten'!$C$8/12*(POWER(1+'Qredits maandlasten'!$C$8/12,$B38-1+1)))</f>
        <v>1.0274022841115161E-2</v>
      </c>
      <c r="Q38" s="424">
        <f t="shared" ca="1" si="3"/>
        <v>0</v>
      </c>
      <c r="R38" s="422"/>
      <c r="S38" s="423">
        <f t="shared" ca="1" si="1"/>
        <v>0</v>
      </c>
      <c r="T38" s="423">
        <f ca="1">IF(S38="","",J38/(POWER(1+'Qredits maandlasten'!$C$8/12,$B38-1+1)))</f>
        <v>0</v>
      </c>
      <c r="U38" s="425">
        <f t="shared" ca="1" si="4"/>
        <v>0</v>
      </c>
      <c r="V38" s="423">
        <f ca="1">IF($B38="","",K38/(POWER(1+'Qredits maandlasten'!$C$8/12,$B38-1+1)))</f>
        <v>0</v>
      </c>
      <c r="W38" s="422"/>
      <c r="X38" s="425"/>
      <c r="Y38" s="426"/>
    </row>
    <row r="39" spans="1:25" s="427" customFormat="1" x14ac:dyDescent="0.25">
      <c r="A39" s="418"/>
      <c r="B39" s="419">
        <f>IF($B38="","",IF($B38+1&gt;'Qredits maandlasten'!$C$7,"",Schema!B38+1))</f>
        <v>30</v>
      </c>
      <c r="C39" s="420">
        <f ca="1">IF($B38="","",IF($B38+1&gt;'Qredits maandlasten'!$C$7,"",EOMONTH(C38,0)+1))</f>
        <v>46082</v>
      </c>
      <c r="D39" s="418"/>
      <c r="E39" s="420">
        <f ca="1">IF($B38="","",IF($B38+1&gt;'Qredits maandlasten'!$C$7,"",F38+1))</f>
        <v>46054</v>
      </c>
      <c r="F39" s="420">
        <f ca="1">IF($B38="","",IF($B38+1&gt;'Qredits maandlasten'!$C$7,"",EOMONTH(C39,-1)))</f>
        <v>46081</v>
      </c>
      <c r="G39" s="421">
        <f ca="1">IF($B38="","",IF($B38+1&gt;'Qredits maandlasten'!$C$7,"",(_xlfn.DAYS(F39,E39)+1)/DAY(F39)))</f>
        <v>1</v>
      </c>
      <c r="H39" s="422"/>
      <c r="I39" s="423">
        <f ca="1">IF($B38="","",IF($B38+1&gt;'Qredits maandlasten'!$C$7,"",I38-J38))</f>
        <v>0</v>
      </c>
      <c r="J39" s="423">
        <f ca="1">IF($B38="","",IF($B38+1&gt;'Qredits maandlasten'!$C$7,"",IF(B38&lt;'Investering &amp; Financiering'!$E$52-1,0,IF('Qredits maandlasten'!$C$10="Lineair",'Qredits maandlasten'!$H$4,IF('Qredits maandlasten'!$C$10="Annuïteit",IFERROR('Qredits maandlasten'!$H$4-K39,0),0)))))</f>
        <v>0</v>
      </c>
      <c r="K39" s="423">
        <f ca="1">IF($B38="","",IF($B38+1&gt;'Qredits maandlasten'!$C$7,"",G39*I39*'Qredits maandlasten'!$C$8/12))</f>
        <v>0</v>
      </c>
      <c r="L39" s="423">
        <f t="shared" ca="1" si="2"/>
        <v>0</v>
      </c>
      <c r="M39" s="423">
        <f t="shared" ca="1" si="0"/>
        <v>0</v>
      </c>
      <c r="N39" s="422"/>
      <c r="O39" s="424">
        <f>IF($B39="","",'Qredits maandlasten'!$C$8/12)</f>
        <v>8.1250000000000003E-3</v>
      </c>
      <c r="P39" s="424">
        <f>IF($B39="","",'Qredits maandlasten'!$C$8/12*(POWER(1+'Qredits maandlasten'!$C$8/12,$B39-1+1)))</f>
        <v>1.0357499276699223E-2</v>
      </c>
      <c r="Q39" s="424">
        <f t="shared" ca="1" si="3"/>
        <v>0</v>
      </c>
      <c r="R39" s="422"/>
      <c r="S39" s="423">
        <f t="shared" ca="1" si="1"/>
        <v>0</v>
      </c>
      <c r="T39" s="423">
        <f ca="1">IF(S39="","",J39/(POWER(1+'Qredits maandlasten'!$C$8/12,$B39-1+1)))</f>
        <v>0</v>
      </c>
      <c r="U39" s="425">
        <f t="shared" ca="1" si="4"/>
        <v>0</v>
      </c>
      <c r="V39" s="423">
        <f ca="1">IF($B39="","",K39/(POWER(1+'Qredits maandlasten'!$C$8/12,$B39-1+1)))</f>
        <v>0</v>
      </c>
      <c r="W39" s="422"/>
      <c r="X39" s="425"/>
      <c r="Y39" s="430"/>
    </row>
    <row r="40" spans="1:25" s="427" customFormat="1" x14ac:dyDescent="0.2">
      <c r="A40" s="418"/>
      <c r="B40" s="419">
        <f>IF($B39="","",IF($B39+1&gt;'Qredits maandlasten'!$C$7,"",Schema!B39+1))</f>
        <v>31</v>
      </c>
      <c r="C40" s="420">
        <f ca="1">IF($B39="","",IF($B39+1&gt;'Qredits maandlasten'!$C$7,"",EOMONTH(C39,0)+1))</f>
        <v>46113</v>
      </c>
      <c r="D40" s="418"/>
      <c r="E40" s="420">
        <f ca="1">IF($B39="","",IF($B39+1&gt;'Qredits maandlasten'!$C$7,"",F39+1))</f>
        <v>46082</v>
      </c>
      <c r="F40" s="420">
        <f ca="1">IF($B39="","",IF($B39+1&gt;'Qredits maandlasten'!$C$7,"",EOMONTH(C40,-1)))</f>
        <v>46112</v>
      </c>
      <c r="G40" s="421">
        <f ca="1">IF($B39="","",IF($B39+1&gt;'Qredits maandlasten'!$C$7,"",(_xlfn.DAYS(F40,E40)+1)/DAY(F40)))</f>
        <v>1</v>
      </c>
      <c r="H40" s="422"/>
      <c r="I40" s="423">
        <f ca="1">IF($B39="","",IF($B39+1&gt;'Qredits maandlasten'!$C$7,"",I39-J39))</f>
        <v>0</v>
      </c>
      <c r="J40" s="423">
        <f ca="1">IF($B39="","",IF($B39+1&gt;'Qredits maandlasten'!$C$7,"",IF(B39&lt;'Investering &amp; Financiering'!$E$52-1,0,IF('Qredits maandlasten'!$C$10="Lineair",'Qredits maandlasten'!$H$4,IF('Qredits maandlasten'!$C$10="Annuïteit",IFERROR('Qredits maandlasten'!$H$4-K40,0),0)))))</f>
        <v>0</v>
      </c>
      <c r="K40" s="423">
        <f ca="1">IF($B39="","",IF($B39+1&gt;'Qredits maandlasten'!$C$7,"",G40*I40*'Qredits maandlasten'!$C$8/12))</f>
        <v>0</v>
      </c>
      <c r="L40" s="423">
        <f t="shared" ca="1" si="2"/>
        <v>0</v>
      </c>
      <c r="M40" s="423">
        <f t="shared" ca="1" si="0"/>
        <v>0</v>
      </c>
      <c r="N40" s="422"/>
      <c r="O40" s="424">
        <f>IF($B40="","",'Qredits maandlasten'!$C$8/12)</f>
        <v>8.1250000000000003E-3</v>
      </c>
      <c r="P40" s="424">
        <f>IF($B40="","",'Qredits maandlasten'!$C$8/12*(POWER(1+'Qredits maandlasten'!$C$8/12,$B40-1+1)))</f>
        <v>1.0441653958322403E-2</v>
      </c>
      <c r="Q40" s="424">
        <f t="shared" ca="1" si="3"/>
        <v>0</v>
      </c>
      <c r="R40" s="422"/>
      <c r="S40" s="423">
        <f t="shared" ca="1" si="1"/>
        <v>0</v>
      </c>
      <c r="T40" s="423">
        <f ca="1">IF(S40="","",J40/(POWER(1+'Qredits maandlasten'!$C$8/12,$B40-1+1)))</f>
        <v>0</v>
      </c>
      <c r="U40" s="425">
        <f t="shared" ca="1" si="4"/>
        <v>0</v>
      </c>
      <c r="V40" s="423">
        <f ca="1">IF($B40="","",K40/(POWER(1+'Qredits maandlasten'!$C$8/12,$B40-1+1)))</f>
        <v>0</v>
      </c>
      <c r="W40" s="422"/>
      <c r="X40" s="425"/>
      <c r="Y40" s="426"/>
    </row>
    <row r="41" spans="1:25" s="427" customFormat="1" x14ac:dyDescent="0.2">
      <c r="A41" s="418"/>
      <c r="B41" s="419">
        <f>IF($B40="","",IF($B40+1&gt;'Qredits maandlasten'!$C$7,"",Schema!B40+1))</f>
        <v>32</v>
      </c>
      <c r="C41" s="420">
        <f ca="1">IF($B40="","",IF($B40+1&gt;'Qredits maandlasten'!$C$7,"",EOMONTH(C40,0)+1))</f>
        <v>46143</v>
      </c>
      <c r="D41" s="418"/>
      <c r="E41" s="420">
        <f ca="1">IF($B40="","",IF($B40+1&gt;'Qredits maandlasten'!$C$7,"",F40+1))</f>
        <v>46113</v>
      </c>
      <c r="F41" s="420">
        <f ca="1">IF($B40="","",IF($B40+1&gt;'Qredits maandlasten'!$C$7,"",EOMONTH(C41,-1)))</f>
        <v>46142</v>
      </c>
      <c r="G41" s="421">
        <f ca="1">IF($B40="","",IF($B40+1&gt;'Qredits maandlasten'!$C$7,"",(_xlfn.DAYS(F41,E41)+1)/DAY(F41)))</f>
        <v>1</v>
      </c>
      <c r="H41" s="422"/>
      <c r="I41" s="423">
        <f ca="1">IF($B40="","",IF($B40+1&gt;'Qredits maandlasten'!$C$7,"",I40-J40))</f>
        <v>0</v>
      </c>
      <c r="J41" s="423">
        <f ca="1">IF($B40="","",IF($B40+1&gt;'Qredits maandlasten'!$C$7,"",IF(B40&lt;'Investering &amp; Financiering'!$E$52-1,0,IF('Qredits maandlasten'!$C$10="Lineair",'Qredits maandlasten'!$H$4,IF('Qredits maandlasten'!$C$10="Annuïteit",IFERROR('Qredits maandlasten'!$H$4-K41,0),0)))))</f>
        <v>0</v>
      </c>
      <c r="K41" s="423">
        <f ca="1">IF($B40="","",IF($B40+1&gt;'Qredits maandlasten'!$C$7,"",G41*I41*'Qredits maandlasten'!$C$8/12))</f>
        <v>0</v>
      </c>
      <c r="L41" s="423">
        <f t="shared" ca="1" si="2"/>
        <v>0</v>
      </c>
      <c r="M41" s="423">
        <f t="shared" ca="1" si="0"/>
        <v>0</v>
      </c>
      <c r="N41" s="422"/>
      <c r="O41" s="424">
        <f>IF($B41="","",'Qredits maandlasten'!$C$8/12)</f>
        <v>8.1250000000000003E-3</v>
      </c>
      <c r="P41" s="424">
        <f>IF($B41="","",'Qredits maandlasten'!$C$8/12*(POWER(1+'Qredits maandlasten'!$C$8/12,$B41-1+1)))</f>
        <v>1.0526492396733773E-2</v>
      </c>
      <c r="Q41" s="424">
        <f t="shared" ca="1" si="3"/>
        <v>0</v>
      </c>
      <c r="R41" s="422"/>
      <c r="S41" s="423">
        <f t="shared" ca="1" si="1"/>
        <v>0</v>
      </c>
      <c r="T41" s="423">
        <f ca="1">IF(S41="","",J41/(POWER(1+'Qredits maandlasten'!$C$8/12,$B41-1+1)))</f>
        <v>0</v>
      </c>
      <c r="U41" s="425">
        <f t="shared" ca="1" si="4"/>
        <v>0</v>
      </c>
      <c r="V41" s="423">
        <f ca="1">IF($B41="","",K41/(POWER(1+'Qredits maandlasten'!$C$8/12,$B41-1+1)))</f>
        <v>0</v>
      </c>
      <c r="W41" s="422"/>
      <c r="X41" s="425"/>
      <c r="Y41" s="426"/>
    </row>
    <row r="42" spans="1:25" s="427" customFormat="1" x14ac:dyDescent="0.2">
      <c r="A42" s="418"/>
      <c r="B42" s="419">
        <f>IF($B41="","",IF($B41+1&gt;'Qredits maandlasten'!$C$7,"",Schema!B41+1))</f>
        <v>33</v>
      </c>
      <c r="C42" s="420">
        <f ca="1">IF($B41="","",IF($B41+1&gt;'Qredits maandlasten'!$C$7,"",EOMONTH(C41,0)+1))</f>
        <v>46174</v>
      </c>
      <c r="D42" s="418"/>
      <c r="E42" s="420">
        <f ca="1">IF($B41="","",IF($B41+1&gt;'Qredits maandlasten'!$C$7,"",F41+1))</f>
        <v>46143</v>
      </c>
      <c r="F42" s="420">
        <f ca="1">IF($B41="","",IF($B41+1&gt;'Qredits maandlasten'!$C$7,"",EOMONTH(C42,-1)))</f>
        <v>46173</v>
      </c>
      <c r="G42" s="421">
        <f ca="1">IF($B41="","",IF($B41+1&gt;'Qredits maandlasten'!$C$7,"",(_xlfn.DAYS(F42,E42)+1)/DAY(F42)))</f>
        <v>1</v>
      </c>
      <c r="H42" s="422"/>
      <c r="I42" s="423">
        <f ca="1">IF($B41="","",IF($B41+1&gt;'Qredits maandlasten'!$C$7,"",I41-J41))</f>
        <v>0</v>
      </c>
      <c r="J42" s="423">
        <f ca="1">IF($B41="","",IF($B41+1&gt;'Qredits maandlasten'!$C$7,"",IF(B41&lt;'Investering &amp; Financiering'!$E$52-1,0,IF('Qredits maandlasten'!$C$10="Lineair",'Qredits maandlasten'!$H$4,IF('Qredits maandlasten'!$C$10="Annuïteit",IFERROR('Qredits maandlasten'!$H$4-K42,0),0)))))</f>
        <v>0</v>
      </c>
      <c r="K42" s="423">
        <f ca="1">IF($B41="","",IF($B41+1&gt;'Qredits maandlasten'!$C$7,"",G42*I42*'Qredits maandlasten'!$C$8/12))</f>
        <v>0</v>
      </c>
      <c r="L42" s="423">
        <f t="shared" ca="1" si="2"/>
        <v>0</v>
      </c>
      <c r="M42" s="423">
        <f t="shared" ca="1" si="0"/>
        <v>0</v>
      </c>
      <c r="N42" s="422"/>
      <c r="O42" s="424">
        <f>IF($B42="","",'Qredits maandlasten'!$C$8/12)</f>
        <v>8.1250000000000003E-3</v>
      </c>
      <c r="P42" s="424">
        <f>IF($B42="","",'Qredits maandlasten'!$C$8/12*(POWER(1+'Qredits maandlasten'!$C$8/12,$B42-1+1)))</f>
        <v>1.0612020147457234E-2</v>
      </c>
      <c r="Q42" s="424">
        <f t="shared" ca="1" si="3"/>
        <v>0</v>
      </c>
      <c r="R42" s="422"/>
      <c r="S42" s="423">
        <f t="shared" ca="1" si="1"/>
        <v>0</v>
      </c>
      <c r="T42" s="423">
        <f ca="1">IF(S42="","",J42/(POWER(1+'Qredits maandlasten'!$C$8/12,$B42-1+1)))</f>
        <v>0</v>
      </c>
      <c r="U42" s="425">
        <f t="shared" ca="1" si="4"/>
        <v>0</v>
      </c>
      <c r="V42" s="423">
        <f ca="1">IF($B42="","",K42/(POWER(1+'Qredits maandlasten'!$C$8/12,$B42-1+1)))</f>
        <v>0</v>
      </c>
      <c r="W42" s="422"/>
      <c r="X42" s="425"/>
      <c r="Y42" s="426"/>
    </row>
    <row r="43" spans="1:25" s="427" customFormat="1" x14ac:dyDescent="0.2">
      <c r="A43" s="418"/>
      <c r="B43" s="419">
        <f>IF($B42="","",IF($B42+1&gt;'Qredits maandlasten'!$C$7,"",Schema!B42+1))</f>
        <v>34</v>
      </c>
      <c r="C43" s="420">
        <f ca="1">IF($B42="","",IF($B42+1&gt;'Qredits maandlasten'!$C$7,"",EOMONTH(C42,0)+1))</f>
        <v>46204</v>
      </c>
      <c r="D43" s="418"/>
      <c r="E43" s="420">
        <f ca="1">IF($B42="","",IF($B42+1&gt;'Qredits maandlasten'!$C$7,"",F42+1))</f>
        <v>46174</v>
      </c>
      <c r="F43" s="420">
        <f ca="1">IF($B42="","",IF($B42+1&gt;'Qredits maandlasten'!$C$7,"",EOMONTH(C43,-1)))</f>
        <v>46203</v>
      </c>
      <c r="G43" s="421">
        <f ca="1">IF($B42="","",IF($B42+1&gt;'Qredits maandlasten'!$C$7,"",(_xlfn.DAYS(F43,E43)+1)/DAY(F43)))</f>
        <v>1</v>
      </c>
      <c r="H43" s="422"/>
      <c r="I43" s="423">
        <f ca="1">IF($B42="","",IF($B42+1&gt;'Qredits maandlasten'!$C$7,"",I42-J42))</f>
        <v>0</v>
      </c>
      <c r="J43" s="423">
        <f ca="1">IF($B42="","",IF($B42+1&gt;'Qredits maandlasten'!$C$7,"",IF(B42&lt;'Investering &amp; Financiering'!$E$52-1,0,IF('Qredits maandlasten'!$C$10="Lineair",'Qredits maandlasten'!$H$4,IF('Qredits maandlasten'!$C$10="Annuïteit",IFERROR('Qredits maandlasten'!$H$4-K43,0),0)))))</f>
        <v>0</v>
      </c>
      <c r="K43" s="423">
        <f ca="1">IF($B42="","",IF($B42+1&gt;'Qredits maandlasten'!$C$7,"",G43*I43*'Qredits maandlasten'!$C$8/12))</f>
        <v>0</v>
      </c>
      <c r="L43" s="423">
        <f t="shared" ca="1" si="2"/>
        <v>0</v>
      </c>
      <c r="M43" s="423">
        <f t="shared" ca="1" si="0"/>
        <v>0</v>
      </c>
      <c r="N43" s="422"/>
      <c r="O43" s="424">
        <f>IF($B43="","",'Qredits maandlasten'!$C$8/12)</f>
        <v>8.1250000000000003E-3</v>
      </c>
      <c r="P43" s="424">
        <f>IF($B43="","",'Qredits maandlasten'!$C$8/12*(POWER(1+'Qredits maandlasten'!$C$8/12,$B43-1+1)))</f>
        <v>1.0698242811155325E-2</v>
      </c>
      <c r="Q43" s="424">
        <f t="shared" ca="1" si="3"/>
        <v>0</v>
      </c>
      <c r="R43" s="422"/>
      <c r="S43" s="423">
        <f t="shared" ca="1" si="1"/>
        <v>0</v>
      </c>
      <c r="T43" s="423">
        <f ca="1">IF(S43="","",J43/(POWER(1+'Qredits maandlasten'!$C$8/12,$B43-1+1)))</f>
        <v>0</v>
      </c>
      <c r="U43" s="425">
        <f t="shared" ca="1" si="4"/>
        <v>0</v>
      </c>
      <c r="V43" s="423">
        <f ca="1">IF($B43="","",K43/(POWER(1+'Qredits maandlasten'!$C$8/12,$B43-1+1)))</f>
        <v>0</v>
      </c>
      <c r="W43" s="422"/>
      <c r="X43" s="425"/>
      <c r="Y43" s="426"/>
    </row>
    <row r="44" spans="1:25" s="427" customFormat="1" x14ac:dyDescent="0.2">
      <c r="A44" s="418"/>
      <c r="B44" s="419">
        <f>IF($B43="","",IF($B43+1&gt;'Qredits maandlasten'!$C$7,"",Schema!B43+1))</f>
        <v>35</v>
      </c>
      <c r="C44" s="420">
        <f ca="1">IF($B43="","",IF($B43+1&gt;'Qredits maandlasten'!$C$7,"",EOMONTH(C43,0)+1))</f>
        <v>46235</v>
      </c>
      <c r="D44" s="418"/>
      <c r="E44" s="420">
        <f ca="1">IF($B43="","",IF($B43+1&gt;'Qredits maandlasten'!$C$7,"",F43+1))</f>
        <v>46204</v>
      </c>
      <c r="F44" s="420">
        <f ca="1">IF($B43="","",IF($B43+1&gt;'Qredits maandlasten'!$C$7,"",EOMONTH(C44,-1)))</f>
        <v>46234</v>
      </c>
      <c r="G44" s="421">
        <f ca="1">IF($B43="","",IF($B43+1&gt;'Qredits maandlasten'!$C$7,"",(_xlfn.DAYS(F44,E44)+1)/DAY(F44)))</f>
        <v>1</v>
      </c>
      <c r="H44" s="422"/>
      <c r="I44" s="423">
        <f ca="1">IF($B43="","",IF($B43+1&gt;'Qredits maandlasten'!$C$7,"",I43-J43))</f>
        <v>0</v>
      </c>
      <c r="J44" s="423">
        <f ca="1">IF($B43="","",IF($B43+1&gt;'Qredits maandlasten'!$C$7,"",IF(B43&lt;'Investering &amp; Financiering'!$E$52-1,0,IF('Qredits maandlasten'!$C$10="Lineair",'Qredits maandlasten'!$H$4,IF('Qredits maandlasten'!$C$10="Annuïteit",IFERROR('Qredits maandlasten'!$H$4-K44,0),0)))))</f>
        <v>0</v>
      </c>
      <c r="K44" s="423">
        <f ca="1">IF($B43="","",IF($B43+1&gt;'Qredits maandlasten'!$C$7,"",G44*I44*'Qredits maandlasten'!$C$8/12))</f>
        <v>0</v>
      </c>
      <c r="L44" s="423">
        <f t="shared" ca="1" si="2"/>
        <v>0</v>
      </c>
      <c r="M44" s="423">
        <f t="shared" ca="1" si="0"/>
        <v>0</v>
      </c>
      <c r="N44" s="422"/>
      <c r="O44" s="424">
        <f>IF($B44="","",'Qredits maandlasten'!$C$8/12)</f>
        <v>8.1250000000000003E-3</v>
      </c>
      <c r="P44" s="424">
        <f>IF($B44="","",'Qredits maandlasten'!$C$8/12*(POWER(1+'Qredits maandlasten'!$C$8/12,$B44-1+1)))</f>
        <v>1.0785166033995959E-2</v>
      </c>
      <c r="Q44" s="424">
        <f t="shared" ca="1" si="3"/>
        <v>0</v>
      </c>
      <c r="R44" s="422"/>
      <c r="S44" s="423">
        <f t="shared" ca="1" si="1"/>
        <v>0</v>
      </c>
      <c r="T44" s="423">
        <f ca="1">IF(S44="","",J44/(POWER(1+'Qredits maandlasten'!$C$8/12,$B44-1+1)))</f>
        <v>0</v>
      </c>
      <c r="U44" s="425">
        <f t="shared" ca="1" si="4"/>
        <v>0</v>
      </c>
      <c r="V44" s="423">
        <f ca="1">IF($B44="","",K44/(POWER(1+'Qredits maandlasten'!$C$8/12,$B44-1+1)))</f>
        <v>0</v>
      </c>
      <c r="W44" s="422"/>
      <c r="X44" s="425"/>
      <c r="Y44" s="426"/>
    </row>
    <row r="45" spans="1:25" s="427" customFormat="1" x14ac:dyDescent="0.2">
      <c r="A45" s="418"/>
      <c r="B45" s="419">
        <f>IF($B44="","",IF($B44+1&gt;'Qredits maandlasten'!$C$7,"",Schema!B44+1))</f>
        <v>36</v>
      </c>
      <c r="C45" s="420">
        <f ca="1">IF($B44="","",IF($B44+1&gt;'Qredits maandlasten'!$C$7,"",EOMONTH(C44,0)+1))</f>
        <v>46266</v>
      </c>
      <c r="D45" s="418"/>
      <c r="E45" s="420">
        <f ca="1">IF($B44="","",IF($B44+1&gt;'Qredits maandlasten'!$C$7,"",F44+1))</f>
        <v>46235</v>
      </c>
      <c r="F45" s="420">
        <f ca="1">IF($B44="","",IF($B44+1&gt;'Qredits maandlasten'!$C$7,"",EOMONTH(C45,-1)))</f>
        <v>46265</v>
      </c>
      <c r="G45" s="421">
        <f ca="1">IF($B44="","",IF($B44+1&gt;'Qredits maandlasten'!$C$7,"",(_xlfn.DAYS(F45,E45)+1)/DAY(F45)))</f>
        <v>1</v>
      </c>
      <c r="H45" s="422"/>
      <c r="I45" s="423">
        <f ca="1">IF($B44="","",IF($B44+1&gt;'Qredits maandlasten'!$C$7,"",I44-J44))</f>
        <v>0</v>
      </c>
      <c r="J45" s="423">
        <f ca="1">IF($B44="","",IF($B44+1&gt;'Qredits maandlasten'!$C$7,"",IF(B44&lt;'Investering &amp; Financiering'!$E$52-1,0,IF('Qredits maandlasten'!$C$10="Lineair",'Qredits maandlasten'!$H$4,IF('Qredits maandlasten'!$C$10="Annuïteit",IFERROR('Qredits maandlasten'!$H$4-K45,0),0)))))</f>
        <v>0</v>
      </c>
      <c r="K45" s="423">
        <f ca="1">IF($B44="","",IF($B44+1&gt;'Qredits maandlasten'!$C$7,"",G45*I45*'Qredits maandlasten'!$C$8/12))</f>
        <v>0</v>
      </c>
      <c r="L45" s="423">
        <f t="shared" ca="1" si="2"/>
        <v>0</v>
      </c>
      <c r="M45" s="423">
        <f t="shared" ca="1" si="0"/>
        <v>0</v>
      </c>
      <c r="N45" s="422"/>
      <c r="O45" s="424">
        <f>IF($B45="","",'Qredits maandlasten'!$C$8/12)</f>
        <v>8.1250000000000003E-3</v>
      </c>
      <c r="P45" s="424">
        <f>IF($B45="","",'Qredits maandlasten'!$C$8/12*(POWER(1+'Qredits maandlasten'!$C$8/12,$B45-1+1)))</f>
        <v>1.0872795508022177E-2</v>
      </c>
      <c r="Q45" s="424">
        <f t="shared" ca="1" si="3"/>
        <v>0</v>
      </c>
      <c r="R45" s="422"/>
      <c r="S45" s="423">
        <f t="shared" ca="1" si="1"/>
        <v>0</v>
      </c>
      <c r="T45" s="423">
        <f ca="1">IF(S45="","",J45/(POWER(1+'Qredits maandlasten'!$C$8/12,$B45-1+1)))</f>
        <v>0</v>
      </c>
      <c r="U45" s="425">
        <f t="shared" ca="1" si="4"/>
        <v>0</v>
      </c>
      <c r="V45" s="423">
        <f ca="1">IF($B45="","",K45/(POWER(1+'Qredits maandlasten'!$C$8/12,$B45-1+1)))</f>
        <v>0</v>
      </c>
      <c r="W45" s="422"/>
      <c r="X45" s="425"/>
      <c r="Y45" s="426"/>
    </row>
    <row r="46" spans="1:25" s="427" customFormat="1" x14ac:dyDescent="0.2">
      <c r="A46" s="418"/>
      <c r="B46" s="419">
        <f>IF($B45="","",IF($B45+1&gt;'Qredits maandlasten'!$C$7,"",Schema!B45+1))</f>
        <v>37</v>
      </c>
      <c r="C46" s="420">
        <f ca="1">IF($B45="","",IF($B45+1&gt;'Qredits maandlasten'!$C$7,"",EOMONTH(C45,0)+1))</f>
        <v>46296</v>
      </c>
      <c r="D46" s="418"/>
      <c r="E46" s="420">
        <f ca="1">IF($B45="","",IF($B45+1&gt;'Qredits maandlasten'!$C$7,"",F45+1))</f>
        <v>46266</v>
      </c>
      <c r="F46" s="420">
        <f ca="1">IF($B45="","",IF($B45+1&gt;'Qredits maandlasten'!$C$7,"",EOMONTH(C46,-1)))</f>
        <v>46295</v>
      </c>
      <c r="G46" s="421">
        <f ca="1">IF($B45="","",IF($B45+1&gt;'Qredits maandlasten'!$C$7,"",(_xlfn.DAYS(F46,E46)+1)/DAY(F46)))</f>
        <v>1</v>
      </c>
      <c r="H46" s="422"/>
      <c r="I46" s="423">
        <f ca="1">IF($B45="","",IF($B45+1&gt;'Qredits maandlasten'!$C$7,"",I45-J45))</f>
        <v>0</v>
      </c>
      <c r="J46" s="423">
        <f ca="1">IF($B45="","",IF($B45+1&gt;'Qredits maandlasten'!$C$7,"",IF(B45&lt;'Investering &amp; Financiering'!$E$52-1,0,IF('Qredits maandlasten'!$C$10="Lineair",'Qredits maandlasten'!$H$4,IF('Qredits maandlasten'!$C$10="Annuïteit",IFERROR('Qredits maandlasten'!$H$4-K46,0),0)))))</f>
        <v>0</v>
      </c>
      <c r="K46" s="423">
        <f ca="1">IF($B45="","",IF($B45+1&gt;'Qredits maandlasten'!$C$7,"",G46*I46*'Qredits maandlasten'!$C$8/12))</f>
        <v>0</v>
      </c>
      <c r="L46" s="423">
        <f t="shared" ca="1" si="2"/>
        <v>0</v>
      </c>
      <c r="M46" s="423">
        <f t="shared" ca="1" si="0"/>
        <v>0</v>
      </c>
      <c r="N46" s="422"/>
      <c r="O46" s="424">
        <f>IF($B46="","",'Qredits maandlasten'!$C$8/12)</f>
        <v>8.1250000000000003E-3</v>
      </c>
      <c r="P46" s="424">
        <f>IF($B46="","",'Qredits maandlasten'!$C$8/12*(POWER(1+'Qredits maandlasten'!$C$8/12,$B46-1+1)))</f>
        <v>1.0961136971524859E-2</v>
      </c>
      <c r="Q46" s="424">
        <f t="shared" ca="1" si="3"/>
        <v>0</v>
      </c>
      <c r="R46" s="422"/>
      <c r="S46" s="423">
        <f t="shared" ca="1" si="1"/>
        <v>0</v>
      </c>
      <c r="T46" s="423">
        <f ca="1">IF(S46="","",J46/(POWER(1+'Qredits maandlasten'!$C$8/12,$B46-1+1)))</f>
        <v>0</v>
      </c>
      <c r="U46" s="425">
        <f t="shared" ca="1" si="4"/>
        <v>0</v>
      </c>
      <c r="V46" s="423">
        <f ca="1">IF($B46="","",K46/(POWER(1+'Qredits maandlasten'!$C$8/12,$B46-1+1)))</f>
        <v>0</v>
      </c>
      <c r="W46" s="422"/>
      <c r="X46" s="425"/>
      <c r="Y46" s="426"/>
    </row>
    <row r="47" spans="1:25" s="427" customFormat="1" x14ac:dyDescent="0.2">
      <c r="A47" s="418"/>
      <c r="B47" s="419">
        <f>IF($B46="","",IF($B46+1&gt;'Qredits maandlasten'!$C$7,"",Schema!B46+1))</f>
        <v>38</v>
      </c>
      <c r="C47" s="420">
        <f ca="1">IF($B46="","",IF($B46+1&gt;'Qredits maandlasten'!$C$7,"",EOMONTH(C46,0)+1))</f>
        <v>46327</v>
      </c>
      <c r="D47" s="418"/>
      <c r="E47" s="420">
        <f ca="1">IF($B46="","",IF($B46+1&gt;'Qredits maandlasten'!$C$7,"",F46+1))</f>
        <v>46296</v>
      </c>
      <c r="F47" s="420">
        <f ca="1">IF($B46="","",IF($B46+1&gt;'Qredits maandlasten'!$C$7,"",EOMONTH(C47,-1)))</f>
        <v>46326</v>
      </c>
      <c r="G47" s="421">
        <f ca="1">IF($B46="","",IF($B46+1&gt;'Qredits maandlasten'!$C$7,"",(_xlfn.DAYS(F47,E47)+1)/DAY(F47)))</f>
        <v>1</v>
      </c>
      <c r="H47" s="422"/>
      <c r="I47" s="423">
        <f ca="1">IF($B46="","",IF($B46+1&gt;'Qredits maandlasten'!$C$7,"",I46-J46))</f>
        <v>0</v>
      </c>
      <c r="J47" s="423">
        <f ca="1">IF($B46="","",IF($B46+1&gt;'Qredits maandlasten'!$C$7,"",IF(B46&lt;'Investering &amp; Financiering'!$E$52-1,0,IF('Qredits maandlasten'!$C$10="Lineair",'Qredits maandlasten'!$H$4,IF('Qredits maandlasten'!$C$10="Annuïteit",IFERROR('Qredits maandlasten'!$H$4-K47,0),0)))))</f>
        <v>0</v>
      </c>
      <c r="K47" s="423">
        <f ca="1">IF($B46="","",IF($B46+1&gt;'Qredits maandlasten'!$C$7,"",G47*I47*'Qredits maandlasten'!$C$8/12))</f>
        <v>0</v>
      </c>
      <c r="L47" s="423">
        <f t="shared" ca="1" si="2"/>
        <v>0</v>
      </c>
      <c r="M47" s="423">
        <f t="shared" ca="1" si="0"/>
        <v>0</v>
      </c>
      <c r="N47" s="422"/>
      <c r="O47" s="424">
        <f>IF($B47="","",'Qredits maandlasten'!$C$8/12)</f>
        <v>8.1250000000000003E-3</v>
      </c>
      <c r="P47" s="424">
        <f>IF($B47="","",'Qredits maandlasten'!$C$8/12*(POWER(1+'Qredits maandlasten'!$C$8/12,$B47-1+1)))</f>
        <v>1.1050196209418498E-2</v>
      </c>
      <c r="Q47" s="424">
        <f t="shared" ca="1" si="3"/>
        <v>0</v>
      </c>
      <c r="R47" s="422"/>
      <c r="S47" s="423">
        <f t="shared" ca="1" si="1"/>
        <v>0</v>
      </c>
      <c r="T47" s="423">
        <f ca="1">IF(S47="","",J47/(POWER(1+'Qredits maandlasten'!$C$8/12,$B47-1+1)))</f>
        <v>0</v>
      </c>
      <c r="U47" s="425">
        <f t="shared" ca="1" si="4"/>
        <v>0</v>
      </c>
      <c r="V47" s="423">
        <f ca="1">IF($B47="","",K47/(POWER(1+'Qredits maandlasten'!$C$8/12,$B47-1+1)))</f>
        <v>0</v>
      </c>
      <c r="W47" s="422"/>
      <c r="X47" s="425"/>
      <c r="Y47" s="426"/>
    </row>
    <row r="48" spans="1:25" s="427" customFormat="1" x14ac:dyDescent="0.2">
      <c r="A48" s="418"/>
      <c r="B48" s="419">
        <f>IF($B47="","",IF($B47+1&gt;'Qredits maandlasten'!$C$7,"",Schema!B47+1))</f>
        <v>39</v>
      </c>
      <c r="C48" s="420">
        <f ca="1">IF($B47="","",IF($B47+1&gt;'Qredits maandlasten'!$C$7,"",EOMONTH(C47,0)+1))</f>
        <v>46357</v>
      </c>
      <c r="D48" s="418"/>
      <c r="E48" s="420">
        <f ca="1">IF($B47="","",IF($B47+1&gt;'Qredits maandlasten'!$C$7,"",F47+1))</f>
        <v>46327</v>
      </c>
      <c r="F48" s="420">
        <f ca="1">IF($B47="","",IF($B47+1&gt;'Qredits maandlasten'!$C$7,"",EOMONTH(C48,-1)))</f>
        <v>46356</v>
      </c>
      <c r="G48" s="421">
        <f ca="1">IF($B47="","",IF($B47+1&gt;'Qredits maandlasten'!$C$7,"",(_xlfn.DAYS(F48,E48)+1)/DAY(F48)))</f>
        <v>1</v>
      </c>
      <c r="H48" s="422"/>
      <c r="I48" s="423">
        <f ca="1">IF($B47="","",IF($B47+1&gt;'Qredits maandlasten'!$C$7,"",I47-J47))</f>
        <v>0</v>
      </c>
      <c r="J48" s="423">
        <f ca="1">IF($B47="","",IF($B47+1&gt;'Qredits maandlasten'!$C$7,"",IF(B47&lt;'Investering &amp; Financiering'!$E$52-1,0,IF('Qredits maandlasten'!$C$10="Lineair",'Qredits maandlasten'!$H$4,IF('Qredits maandlasten'!$C$10="Annuïteit",IFERROR('Qredits maandlasten'!$H$4-K48,0),0)))))</f>
        <v>0</v>
      </c>
      <c r="K48" s="423">
        <f ca="1">IF($B47="","",IF($B47+1&gt;'Qredits maandlasten'!$C$7,"",G48*I48*'Qredits maandlasten'!$C$8/12))</f>
        <v>0</v>
      </c>
      <c r="L48" s="423">
        <f t="shared" ca="1" si="2"/>
        <v>0</v>
      </c>
      <c r="M48" s="423">
        <f t="shared" ca="1" si="0"/>
        <v>0</v>
      </c>
      <c r="N48" s="422"/>
      <c r="O48" s="424">
        <f>IF($B48="","",'Qredits maandlasten'!$C$8/12)</f>
        <v>8.1250000000000003E-3</v>
      </c>
      <c r="P48" s="424">
        <f>IF($B48="","",'Qredits maandlasten'!$C$8/12*(POWER(1+'Qredits maandlasten'!$C$8/12,$B48-1+1)))</f>
        <v>1.1139979053620019E-2</v>
      </c>
      <c r="Q48" s="424">
        <f t="shared" ca="1" si="3"/>
        <v>0</v>
      </c>
      <c r="R48" s="422"/>
      <c r="S48" s="423">
        <f t="shared" ca="1" si="1"/>
        <v>0</v>
      </c>
      <c r="T48" s="423">
        <f ca="1">IF(S48="","",J48/(POWER(1+'Qredits maandlasten'!$C$8/12,$B48-1+1)))</f>
        <v>0</v>
      </c>
      <c r="U48" s="425">
        <f t="shared" ca="1" si="4"/>
        <v>0</v>
      </c>
      <c r="V48" s="423">
        <f ca="1">IF($B48="","",K48/(POWER(1+'Qredits maandlasten'!$C$8/12,$B48-1+1)))</f>
        <v>0</v>
      </c>
      <c r="W48" s="422"/>
      <c r="X48" s="425"/>
      <c r="Y48" s="426"/>
    </row>
    <row r="49" spans="1:25" s="427" customFormat="1" x14ac:dyDescent="0.2">
      <c r="A49" s="418"/>
      <c r="B49" s="419">
        <f>IF($B48="","",IF($B48+1&gt;'Qredits maandlasten'!$C$7,"",Schema!B48+1))</f>
        <v>40</v>
      </c>
      <c r="C49" s="420">
        <f ca="1">IF($B48="","",IF($B48+1&gt;'Qredits maandlasten'!$C$7,"",EOMONTH(C48,0)+1))</f>
        <v>46388</v>
      </c>
      <c r="D49" s="418"/>
      <c r="E49" s="420">
        <f ca="1">IF($B48="","",IF($B48+1&gt;'Qredits maandlasten'!$C$7,"",F48+1))</f>
        <v>46357</v>
      </c>
      <c r="F49" s="420">
        <f ca="1">IF($B48="","",IF($B48+1&gt;'Qredits maandlasten'!$C$7,"",EOMONTH(C49,-1)))</f>
        <v>46387</v>
      </c>
      <c r="G49" s="421">
        <f ca="1">IF($B48="","",IF($B48+1&gt;'Qredits maandlasten'!$C$7,"",(_xlfn.DAYS(F49,E49)+1)/DAY(F49)))</f>
        <v>1</v>
      </c>
      <c r="H49" s="422"/>
      <c r="I49" s="423">
        <f ca="1">IF($B48="","",IF($B48+1&gt;'Qredits maandlasten'!$C$7,"",I48-J48))</f>
        <v>0</v>
      </c>
      <c r="J49" s="423">
        <f ca="1">IF($B48="","",IF($B48+1&gt;'Qredits maandlasten'!$C$7,"",IF(B48&lt;'Investering &amp; Financiering'!$E$52-1,0,IF('Qredits maandlasten'!$C$10="Lineair",'Qredits maandlasten'!$H$4,IF('Qredits maandlasten'!$C$10="Annuïteit",IFERROR('Qredits maandlasten'!$H$4-K49,0),0)))))</f>
        <v>0</v>
      </c>
      <c r="K49" s="423">
        <f ca="1">IF($B48="","",IF($B48+1&gt;'Qredits maandlasten'!$C$7,"",G49*I49*'Qredits maandlasten'!$C$8/12))</f>
        <v>0</v>
      </c>
      <c r="L49" s="423">
        <f t="shared" ca="1" si="2"/>
        <v>0</v>
      </c>
      <c r="M49" s="423">
        <f t="shared" ca="1" si="0"/>
        <v>0</v>
      </c>
      <c r="N49" s="422"/>
      <c r="O49" s="424">
        <f>IF($B49="","",'Qredits maandlasten'!$C$8/12)</f>
        <v>8.1250000000000003E-3</v>
      </c>
      <c r="P49" s="424">
        <f>IF($B49="","",'Qredits maandlasten'!$C$8/12*(POWER(1+'Qredits maandlasten'!$C$8/12,$B49-1+1)))</f>
        <v>1.1230491383430683E-2</v>
      </c>
      <c r="Q49" s="424">
        <f t="shared" ca="1" si="3"/>
        <v>0</v>
      </c>
      <c r="R49" s="422"/>
      <c r="S49" s="423">
        <f t="shared" ca="1" si="1"/>
        <v>0</v>
      </c>
      <c r="T49" s="423">
        <f ca="1">IF(S49="","",J49/(POWER(1+'Qredits maandlasten'!$C$8/12,$B49-1+1)))</f>
        <v>0</v>
      </c>
      <c r="U49" s="425">
        <f t="shared" ca="1" si="4"/>
        <v>0</v>
      </c>
      <c r="V49" s="423">
        <f ca="1">IF($B49="","",K49/(POWER(1+'Qredits maandlasten'!$C$8/12,$B49-1+1)))</f>
        <v>0</v>
      </c>
      <c r="W49" s="422"/>
      <c r="X49" s="425"/>
      <c r="Y49" s="426"/>
    </row>
    <row r="50" spans="1:25" s="427" customFormat="1" x14ac:dyDescent="0.2">
      <c r="A50" s="418"/>
      <c r="B50" s="419">
        <f>IF($B49="","",IF($B49+1&gt;'Qredits maandlasten'!$C$7,"",Schema!B49+1))</f>
        <v>41</v>
      </c>
      <c r="C50" s="420">
        <f ca="1">IF($B49="","",IF($B49+1&gt;'Qredits maandlasten'!$C$7,"",EOMONTH(C49,0)+1))</f>
        <v>46419</v>
      </c>
      <c r="D50" s="418"/>
      <c r="E50" s="420">
        <f ca="1">IF($B49="","",IF($B49+1&gt;'Qredits maandlasten'!$C$7,"",F49+1))</f>
        <v>46388</v>
      </c>
      <c r="F50" s="420">
        <f ca="1">IF($B49="","",IF($B49+1&gt;'Qredits maandlasten'!$C$7,"",EOMONTH(C50,-1)))</f>
        <v>46418</v>
      </c>
      <c r="G50" s="421">
        <f ca="1">IF($B49="","",IF($B49+1&gt;'Qredits maandlasten'!$C$7,"",(_xlfn.DAYS(F50,E50)+1)/DAY(F50)))</f>
        <v>1</v>
      </c>
      <c r="H50" s="422"/>
      <c r="I50" s="423">
        <f ca="1">IF($B49="","",IF($B49+1&gt;'Qredits maandlasten'!$C$7,"",I49-J49))</f>
        <v>0</v>
      </c>
      <c r="J50" s="423">
        <f ca="1">IF($B49="","",IF($B49+1&gt;'Qredits maandlasten'!$C$7,"",IF(B49&lt;'Investering &amp; Financiering'!$E$52-1,0,IF('Qredits maandlasten'!$C$10="Lineair",'Qredits maandlasten'!$H$4,IF('Qredits maandlasten'!$C$10="Annuïteit",IFERROR('Qredits maandlasten'!$H$4-K50,0),0)))))</f>
        <v>0</v>
      </c>
      <c r="K50" s="423">
        <f ca="1">IF($B49="","",IF($B49+1&gt;'Qredits maandlasten'!$C$7,"",G50*I50*'Qredits maandlasten'!$C$8/12))</f>
        <v>0</v>
      </c>
      <c r="L50" s="423">
        <f t="shared" ca="1" si="2"/>
        <v>0</v>
      </c>
      <c r="M50" s="423">
        <f t="shared" ca="1" si="0"/>
        <v>0</v>
      </c>
      <c r="N50" s="422"/>
      <c r="O50" s="424">
        <f>IF($B50="","",'Qredits maandlasten'!$C$8/12)</f>
        <v>8.1250000000000003E-3</v>
      </c>
      <c r="P50" s="424">
        <f>IF($B50="","",'Qredits maandlasten'!$C$8/12*(POWER(1+'Qredits maandlasten'!$C$8/12,$B50-1+1)))</f>
        <v>1.1321739125921059E-2</v>
      </c>
      <c r="Q50" s="424">
        <f t="shared" ca="1" si="3"/>
        <v>0</v>
      </c>
      <c r="R50" s="422"/>
      <c r="S50" s="423">
        <f t="shared" ca="1" si="1"/>
        <v>0</v>
      </c>
      <c r="T50" s="423">
        <f ca="1">IF(S50="","",J50/(POWER(1+'Qredits maandlasten'!$C$8/12,$B50-1+1)))</f>
        <v>0</v>
      </c>
      <c r="U50" s="425">
        <f t="shared" ca="1" si="4"/>
        <v>0</v>
      </c>
      <c r="V50" s="423">
        <f ca="1">IF($B50="","",K50/(POWER(1+'Qredits maandlasten'!$C$8/12,$B50-1+1)))</f>
        <v>0</v>
      </c>
      <c r="W50" s="422"/>
      <c r="X50" s="425"/>
      <c r="Y50" s="426"/>
    </row>
    <row r="51" spans="1:25" s="427" customFormat="1" x14ac:dyDescent="0.2">
      <c r="A51" s="418"/>
      <c r="B51" s="419">
        <f>IF($B50="","",IF($B50+1&gt;'Qredits maandlasten'!$C$7,"",Schema!B50+1))</f>
        <v>42</v>
      </c>
      <c r="C51" s="420">
        <f ca="1">IF($B50="","",IF($B50+1&gt;'Qredits maandlasten'!$C$7,"",EOMONTH(C50,0)+1))</f>
        <v>46447</v>
      </c>
      <c r="D51" s="418"/>
      <c r="E51" s="420">
        <f ca="1">IF($B50="","",IF($B50+1&gt;'Qredits maandlasten'!$C$7,"",F50+1))</f>
        <v>46419</v>
      </c>
      <c r="F51" s="420">
        <f ca="1">IF($B50="","",IF($B50+1&gt;'Qredits maandlasten'!$C$7,"",EOMONTH(C51,-1)))</f>
        <v>46446</v>
      </c>
      <c r="G51" s="421">
        <f ca="1">IF($B50="","",IF($B50+1&gt;'Qredits maandlasten'!$C$7,"",(_xlfn.DAYS(F51,E51)+1)/DAY(F51)))</f>
        <v>1</v>
      </c>
      <c r="H51" s="422"/>
      <c r="I51" s="423">
        <f ca="1">IF($B50="","",IF($B50+1&gt;'Qredits maandlasten'!$C$7,"",I50-J50))</f>
        <v>0</v>
      </c>
      <c r="J51" s="423">
        <f ca="1">IF($B50="","",IF($B50+1&gt;'Qredits maandlasten'!$C$7,"",IF(B50&lt;'Investering &amp; Financiering'!$E$52-1,0,IF('Qredits maandlasten'!$C$10="Lineair",'Qredits maandlasten'!$H$4,IF('Qredits maandlasten'!$C$10="Annuïteit",IFERROR('Qredits maandlasten'!$H$4-K51,0),0)))))</f>
        <v>0</v>
      </c>
      <c r="K51" s="423">
        <f ca="1">IF($B50="","",IF($B50+1&gt;'Qredits maandlasten'!$C$7,"",G51*I51*'Qredits maandlasten'!$C$8/12))</f>
        <v>0</v>
      </c>
      <c r="L51" s="423">
        <f t="shared" ca="1" si="2"/>
        <v>0</v>
      </c>
      <c r="M51" s="423">
        <f t="shared" ca="1" si="0"/>
        <v>0</v>
      </c>
      <c r="N51" s="422"/>
      <c r="O51" s="424">
        <f>IF($B51="","",'Qredits maandlasten'!$C$8/12)</f>
        <v>8.1250000000000003E-3</v>
      </c>
      <c r="P51" s="424">
        <f>IF($B51="","",'Qredits maandlasten'!$C$8/12*(POWER(1+'Qredits maandlasten'!$C$8/12,$B51-1+1)))</f>
        <v>1.1413728256319169E-2</v>
      </c>
      <c r="Q51" s="424">
        <f t="shared" ca="1" si="3"/>
        <v>0</v>
      </c>
      <c r="R51" s="422"/>
      <c r="S51" s="423">
        <f t="shared" ca="1" si="1"/>
        <v>0</v>
      </c>
      <c r="T51" s="423">
        <f ca="1">IF(S51="","",J51/(POWER(1+'Qredits maandlasten'!$C$8/12,$B51-1+1)))</f>
        <v>0</v>
      </c>
      <c r="U51" s="425">
        <f t="shared" ca="1" si="4"/>
        <v>0</v>
      </c>
      <c r="V51" s="423">
        <f ca="1">IF($B51="","",K51/(POWER(1+'Qredits maandlasten'!$C$8/12,$B51-1+1)))</f>
        <v>0</v>
      </c>
      <c r="W51" s="422"/>
      <c r="X51" s="425"/>
      <c r="Y51" s="426"/>
    </row>
    <row r="52" spans="1:25" s="427" customFormat="1" x14ac:dyDescent="0.2">
      <c r="A52" s="418"/>
      <c r="B52" s="419">
        <f>IF($B51="","",IF($B51+1&gt;'Qredits maandlasten'!$C$7,"",Schema!B51+1))</f>
        <v>43</v>
      </c>
      <c r="C52" s="420">
        <f ca="1">IF($B51="","",IF($B51+1&gt;'Qredits maandlasten'!$C$7,"",EOMONTH(C51,0)+1))</f>
        <v>46478</v>
      </c>
      <c r="D52" s="418"/>
      <c r="E52" s="420">
        <f ca="1">IF($B51="","",IF($B51+1&gt;'Qredits maandlasten'!$C$7,"",F51+1))</f>
        <v>46447</v>
      </c>
      <c r="F52" s="420">
        <f ca="1">IF($B51="","",IF($B51+1&gt;'Qredits maandlasten'!$C$7,"",EOMONTH(C52,-1)))</f>
        <v>46477</v>
      </c>
      <c r="G52" s="421">
        <f ca="1">IF($B51="","",IF($B51+1&gt;'Qredits maandlasten'!$C$7,"",(_xlfn.DAYS(F52,E52)+1)/DAY(F52)))</f>
        <v>1</v>
      </c>
      <c r="H52" s="422"/>
      <c r="I52" s="423">
        <f ca="1">IF($B51="","",IF($B51+1&gt;'Qredits maandlasten'!$C$7,"",I51-J51))</f>
        <v>0</v>
      </c>
      <c r="J52" s="423">
        <f ca="1">IF($B51="","",IF($B51+1&gt;'Qredits maandlasten'!$C$7,"",IF(B51&lt;'Investering &amp; Financiering'!$E$52-1,0,IF('Qredits maandlasten'!$C$10="Lineair",'Qredits maandlasten'!$H$4,IF('Qredits maandlasten'!$C$10="Annuïteit",IFERROR('Qredits maandlasten'!$H$4-K52,0),0)))))</f>
        <v>0</v>
      </c>
      <c r="K52" s="423">
        <f ca="1">IF($B51="","",IF($B51+1&gt;'Qredits maandlasten'!$C$7,"",G52*I52*'Qredits maandlasten'!$C$8/12))</f>
        <v>0</v>
      </c>
      <c r="L52" s="423">
        <f t="shared" ca="1" si="2"/>
        <v>0</v>
      </c>
      <c r="M52" s="423">
        <f t="shared" ca="1" si="0"/>
        <v>0</v>
      </c>
      <c r="N52" s="422"/>
      <c r="O52" s="424">
        <f>IF($B52="","",'Qredits maandlasten'!$C$8/12)</f>
        <v>8.1250000000000003E-3</v>
      </c>
      <c r="P52" s="424">
        <f>IF($B52="","",'Qredits maandlasten'!$C$8/12*(POWER(1+'Qredits maandlasten'!$C$8/12,$B52-1+1)))</f>
        <v>1.1506464798401761E-2</v>
      </c>
      <c r="Q52" s="424">
        <f t="shared" ca="1" si="3"/>
        <v>0</v>
      </c>
      <c r="R52" s="422"/>
      <c r="S52" s="423">
        <f t="shared" ca="1" si="1"/>
        <v>0</v>
      </c>
      <c r="T52" s="423">
        <f ca="1">IF(S52="","",J52/(POWER(1+'Qredits maandlasten'!$C$8/12,$B52-1+1)))</f>
        <v>0</v>
      </c>
      <c r="U52" s="425">
        <f t="shared" ca="1" si="4"/>
        <v>0</v>
      </c>
      <c r="V52" s="423">
        <f ca="1">IF($B52="","",K52/(POWER(1+'Qredits maandlasten'!$C$8/12,$B52-1+1)))</f>
        <v>0</v>
      </c>
      <c r="W52" s="422"/>
      <c r="X52" s="425"/>
      <c r="Y52" s="426"/>
    </row>
    <row r="53" spans="1:25" s="427" customFormat="1" x14ac:dyDescent="0.2">
      <c r="A53" s="418"/>
      <c r="B53" s="419">
        <f>IF($B52="","",IF($B52+1&gt;'Qredits maandlasten'!$C$7,"",Schema!B52+1))</f>
        <v>44</v>
      </c>
      <c r="C53" s="420">
        <f ca="1">IF($B52="","",IF($B52+1&gt;'Qredits maandlasten'!$C$7,"",EOMONTH(C52,0)+1))</f>
        <v>46508</v>
      </c>
      <c r="D53" s="418"/>
      <c r="E53" s="420">
        <f ca="1">IF($B52="","",IF($B52+1&gt;'Qredits maandlasten'!$C$7,"",F52+1))</f>
        <v>46478</v>
      </c>
      <c r="F53" s="420">
        <f ca="1">IF($B52="","",IF($B52+1&gt;'Qredits maandlasten'!$C$7,"",EOMONTH(C53,-1)))</f>
        <v>46507</v>
      </c>
      <c r="G53" s="421">
        <f ca="1">IF($B52="","",IF($B52+1&gt;'Qredits maandlasten'!$C$7,"",(_xlfn.DAYS(F53,E53)+1)/DAY(F53)))</f>
        <v>1</v>
      </c>
      <c r="H53" s="422"/>
      <c r="I53" s="423">
        <f ca="1">IF($B52="","",IF($B52+1&gt;'Qredits maandlasten'!$C$7,"",I52-J52))</f>
        <v>0</v>
      </c>
      <c r="J53" s="423">
        <f ca="1">IF($B52="","",IF($B52+1&gt;'Qredits maandlasten'!$C$7,"",IF(B52&lt;'Investering &amp; Financiering'!$E$52-1,0,IF('Qredits maandlasten'!$C$10="Lineair",'Qredits maandlasten'!$H$4,IF('Qredits maandlasten'!$C$10="Annuïteit",IFERROR('Qredits maandlasten'!$H$4-K53,0),0)))))</f>
        <v>0</v>
      </c>
      <c r="K53" s="423">
        <f ca="1">IF($B52="","",IF($B52+1&gt;'Qredits maandlasten'!$C$7,"",G53*I53*'Qredits maandlasten'!$C$8/12))</f>
        <v>0</v>
      </c>
      <c r="L53" s="423">
        <f t="shared" ca="1" si="2"/>
        <v>0</v>
      </c>
      <c r="M53" s="423">
        <f t="shared" ca="1" si="0"/>
        <v>0</v>
      </c>
      <c r="N53" s="422"/>
      <c r="O53" s="424">
        <f>IF($B53="","",'Qredits maandlasten'!$C$8/12)</f>
        <v>8.1250000000000003E-3</v>
      </c>
      <c r="P53" s="424">
        <f>IF($B53="","",'Qredits maandlasten'!$C$8/12*(POWER(1+'Qredits maandlasten'!$C$8/12,$B53-1+1)))</f>
        <v>1.1599954824888773E-2</v>
      </c>
      <c r="Q53" s="424">
        <f t="shared" ca="1" si="3"/>
        <v>0</v>
      </c>
      <c r="R53" s="422"/>
      <c r="S53" s="423">
        <f t="shared" ca="1" si="1"/>
        <v>0</v>
      </c>
      <c r="T53" s="423">
        <f ca="1">IF(S53="","",J53/(POWER(1+'Qredits maandlasten'!$C$8/12,$B53-1+1)))</f>
        <v>0</v>
      </c>
      <c r="U53" s="425">
        <f t="shared" ca="1" si="4"/>
        <v>0</v>
      </c>
      <c r="V53" s="423">
        <f ca="1">IF($B53="","",K53/(POWER(1+'Qredits maandlasten'!$C$8/12,$B53-1+1)))</f>
        <v>0</v>
      </c>
      <c r="W53" s="422"/>
      <c r="X53" s="425"/>
      <c r="Y53" s="426"/>
    </row>
    <row r="54" spans="1:25" s="427" customFormat="1" x14ac:dyDescent="0.2">
      <c r="A54" s="418"/>
      <c r="B54" s="419">
        <f>IF($B53="","",IF($B53+1&gt;'Qredits maandlasten'!$C$7,"",Schema!B53+1))</f>
        <v>45</v>
      </c>
      <c r="C54" s="420">
        <f ca="1">IF($B53="","",IF($B53+1&gt;'Qredits maandlasten'!$C$7,"",EOMONTH(C53,0)+1))</f>
        <v>46539</v>
      </c>
      <c r="D54" s="418"/>
      <c r="E54" s="420">
        <f ca="1">IF($B53="","",IF($B53+1&gt;'Qredits maandlasten'!$C$7,"",F53+1))</f>
        <v>46508</v>
      </c>
      <c r="F54" s="420">
        <f ca="1">IF($B53="","",IF($B53+1&gt;'Qredits maandlasten'!$C$7,"",EOMONTH(C54,-1)))</f>
        <v>46538</v>
      </c>
      <c r="G54" s="421">
        <f ca="1">IF($B53="","",IF($B53+1&gt;'Qredits maandlasten'!$C$7,"",(_xlfn.DAYS(F54,E54)+1)/DAY(F54)))</f>
        <v>1</v>
      </c>
      <c r="H54" s="422"/>
      <c r="I54" s="423">
        <f ca="1">IF($B53="","",IF($B53+1&gt;'Qredits maandlasten'!$C$7,"",I53-J53))</f>
        <v>0</v>
      </c>
      <c r="J54" s="423">
        <f ca="1">IF($B53="","",IF($B53+1&gt;'Qredits maandlasten'!$C$7,"",IF(B53&lt;'Investering &amp; Financiering'!$E$52-1,0,IF('Qredits maandlasten'!$C$10="Lineair",'Qredits maandlasten'!$H$4,IF('Qredits maandlasten'!$C$10="Annuïteit",IFERROR('Qredits maandlasten'!$H$4-K54,0),0)))))</f>
        <v>0</v>
      </c>
      <c r="K54" s="423">
        <f ca="1">IF($B53="","",IF($B53+1&gt;'Qredits maandlasten'!$C$7,"",G54*I54*'Qredits maandlasten'!$C$8/12))</f>
        <v>0</v>
      </c>
      <c r="L54" s="423">
        <f t="shared" ca="1" si="2"/>
        <v>0</v>
      </c>
      <c r="M54" s="423">
        <f t="shared" ca="1" si="0"/>
        <v>0</v>
      </c>
      <c r="N54" s="422"/>
      <c r="O54" s="424">
        <f>IF($B54="","",'Qredits maandlasten'!$C$8/12)</f>
        <v>8.1250000000000003E-3</v>
      </c>
      <c r="P54" s="424">
        <f>IF($B54="","",'Qredits maandlasten'!$C$8/12*(POWER(1+'Qredits maandlasten'!$C$8/12,$B54-1+1)))</f>
        <v>1.1694204457840994E-2</v>
      </c>
      <c r="Q54" s="424">
        <f t="shared" ca="1" si="3"/>
        <v>0</v>
      </c>
      <c r="R54" s="422"/>
      <c r="S54" s="423">
        <f t="shared" ca="1" si="1"/>
        <v>0</v>
      </c>
      <c r="T54" s="423">
        <f ca="1">IF(S54="","",J54/(POWER(1+'Qredits maandlasten'!$C$8/12,$B54-1+1)))</f>
        <v>0</v>
      </c>
      <c r="U54" s="425">
        <f t="shared" ca="1" si="4"/>
        <v>0</v>
      </c>
      <c r="V54" s="423">
        <f ca="1">IF($B54="","",K54/(POWER(1+'Qredits maandlasten'!$C$8/12,$B54-1+1)))</f>
        <v>0</v>
      </c>
      <c r="W54" s="422"/>
      <c r="X54" s="425"/>
      <c r="Y54" s="426"/>
    </row>
    <row r="55" spans="1:25" s="427" customFormat="1" x14ac:dyDescent="0.2">
      <c r="A55" s="418"/>
      <c r="B55" s="419">
        <f>IF($B54="","",IF($B54+1&gt;'Qredits maandlasten'!$C$7,"",Schema!B54+1))</f>
        <v>46</v>
      </c>
      <c r="C55" s="420">
        <f ca="1">IF($B54="","",IF($B54+1&gt;'Qredits maandlasten'!$C$7,"",EOMONTH(C54,0)+1))</f>
        <v>46569</v>
      </c>
      <c r="D55" s="418"/>
      <c r="E55" s="420">
        <f ca="1">IF($B54="","",IF($B54+1&gt;'Qredits maandlasten'!$C$7,"",F54+1))</f>
        <v>46539</v>
      </c>
      <c r="F55" s="420">
        <f ca="1">IF($B54="","",IF($B54+1&gt;'Qredits maandlasten'!$C$7,"",EOMONTH(C55,-1)))</f>
        <v>46568</v>
      </c>
      <c r="G55" s="421">
        <f ca="1">IF($B54="","",IF($B54+1&gt;'Qredits maandlasten'!$C$7,"",(_xlfn.DAYS(F55,E55)+1)/DAY(F55)))</f>
        <v>1</v>
      </c>
      <c r="H55" s="422"/>
      <c r="I55" s="423">
        <f ca="1">IF($B54="","",IF($B54+1&gt;'Qredits maandlasten'!$C$7,"",I54-J54))</f>
        <v>0</v>
      </c>
      <c r="J55" s="423">
        <f ca="1">IF($B54="","",IF($B54+1&gt;'Qredits maandlasten'!$C$7,"",IF(B54&lt;'Investering &amp; Financiering'!$E$52-1,0,IF('Qredits maandlasten'!$C$10="Lineair",'Qredits maandlasten'!$H$4,IF('Qredits maandlasten'!$C$10="Annuïteit",IFERROR('Qredits maandlasten'!$H$4-K55,0),0)))))</f>
        <v>0</v>
      </c>
      <c r="K55" s="423">
        <f ca="1">IF($B54="","",IF($B54+1&gt;'Qredits maandlasten'!$C$7,"",G55*I55*'Qredits maandlasten'!$C$8/12))</f>
        <v>0</v>
      </c>
      <c r="L55" s="423">
        <f t="shared" ca="1" si="2"/>
        <v>0</v>
      </c>
      <c r="M55" s="423">
        <f t="shared" ca="1" si="0"/>
        <v>0</v>
      </c>
      <c r="N55" s="422"/>
      <c r="O55" s="424">
        <f>IF($B55="","",'Qredits maandlasten'!$C$8/12)</f>
        <v>8.1250000000000003E-3</v>
      </c>
      <c r="P55" s="424">
        <f>IF($B55="","",'Qredits maandlasten'!$C$8/12*(POWER(1+'Qredits maandlasten'!$C$8/12,$B55-1+1)))</f>
        <v>1.1789219869060955E-2</v>
      </c>
      <c r="Q55" s="424">
        <f t="shared" ca="1" si="3"/>
        <v>0</v>
      </c>
      <c r="R55" s="422"/>
      <c r="S55" s="423">
        <f t="shared" ca="1" si="1"/>
        <v>0</v>
      </c>
      <c r="T55" s="423">
        <f ca="1">IF(S55="","",J55/(POWER(1+'Qredits maandlasten'!$C$8/12,$B55-1+1)))</f>
        <v>0</v>
      </c>
      <c r="U55" s="425">
        <f t="shared" ca="1" si="4"/>
        <v>0</v>
      </c>
      <c r="V55" s="423">
        <f ca="1">IF($B55="","",K55/(POWER(1+'Qredits maandlasten'!$C$8/12,$B55-1+1)))</f>
        <v>0</v>
      </c>
      <c r="W55" s="422"/>
      <c r="X55" s="425"/>
      <c r="Y55" s="426"/>
    </row>
    <row r="56" spans="1:25" s="427" customFormat="1" x14ac:dyDescent="0.2">
      <c r="A56" s="418"/>
      <c r="B56" s="419">
        <f>IF($B55="","",IF($B55+1&gt;'Qredits maandlasten'!$C$7,"",Schema!B55+1))</f>
        <v>47</v>
      </c>
      <c r="C56" s="420">
        <f ca="1">IF($B55="","",IF($B55+1&gt;'Qredits maandlasten'!$C$7,"",EOMONTH(C55,0)+1))</f>
        <v>46600</v>
      </c>
      <c r="D56" s="418"/>
      <c r="E56" s="420">
        <f ca="1">IF($B55="","",IF($B55+1&gt;'Qredits maandlasten'!$C$7,"",F55+1))</f>
        <v>46569</v>
      </c>
      <c r="F56" s="420">
        <f ca="1">IF($B55="","",IF($B55+1&gt;'Qredits maandlasten'!$C$7,"",EOMONTH(C56,-1)))</f>
        <v>46599</v>
      </c>
      <c r="G56" s="421">
        <f ca="1">IF($B55="","",IF($B55+1&gt;'Qredits maandlasten'!$C$7,"",(_xlfn.DAYS(F56,E56)+1)/DAY(F56)))</f>
        <v>1</v>
      </c>
      <c r="H56" s="422"/>
      <c r="I56" s="423">
        <f ca="1">IF($B55="","",IF($B55+1&gt;'Qredits maandlasten'!$C$7,"",I55-J55))</f>
        <v>0</v>
      </c>
      <c r="J56" s="423">
        <f ca="1">IF($B55="","",IF($B55+1&gt;'Qredits maandlasten'!$C$7,"",IF(B55&lt;'Investering &amp; Financiering'!$E$52-1,0,IF('Qredits maandlasten'!$C$10="Lineair",'Qredits maandlasten'!$H$4,IF('Qredits maandlasten'!$C$10="Annuïteit",IFERROR('Qredits maandlasten'!$H$4-K56,0),0)))))</f>
        <v>0</v>
      </c>
      <c r="K56" s="423">
        <f ca="1">IF($B55="","",IF($B55+1&gt;'Qredits maandlasten'!$C$7,"",G56*I56*'Qredits maandlasten'!$C$8/12))</f>
        <v>0</v>
      </c>
      <c r="L56" s="423">
        <f t="shared" ca="1" si="2"/>
        <v>0</v>
      </c>
      <c r="M56" s="423">
        <f t="shared" ca="1" si="0"/>
        <v>0</v>
      </c>
      <c r="N56" s="422"/>
      <c r="O56" s="424">
        <f>IF($B56="","",'Qredits maandlasten'!$C$8/12)</f>
        <v>8.1250000000000003E-3</v>
      </c>
      <c r="P56" s="424">
        <f>IF($B56="","",'Qredits maandlasten'!$C$8/12*(POWER(1+'Qredits maandlasten'!$C$8/12,$B56-1+1)))</f>
        <v>1.1885007280497073E-2</v>
      </c>
      <c r="Q56" s="424">
        <f t="shared" ca="1" si="3"/>
        <v>0</v>
      </c>
      <c r="R56" s="422"/>
      <c r="S56" s="423">
        <f t="shared" ca="1" si="1"/>
        <v>0</v>
      </c>
      <c r="T56" s="423">
        <f ca="1">IF(S56="","",J56/(POWER(1+'Qredits maandlasten'!$C$8/12,$B56-1+1)))</f>
        <v>0</v>
      </c>
      <c r="U56" s="425">
        <f t="shared" ca="1" si="4"/>
        <v>0</v>
      </c>
      <c r="V56" s="423">
        <f ca="1">IF($B56="","",K56/(POWER(1+'Qredits maandlasten'!$C$8/12,$B56-1+1)))</f>
        <v>0</v>
      </c>
      <c r="W56" s="422"/>
      <c r="X56" s="425"/>
      <c r="Y56" s="426"/>
    </row>
    <row r="57" spans="1:25" s="427" customFormat="1" x14ac:dyDescent="0.2">
      <c r="A57" s="418"/>
      <c r="B57" s="419">
        <f>IF($B56="","",IF($B56+1&gt;'Qredits maandlasten'!$C$7,"",Schema!B56+1))</f>
        <v>48</v>
      </c>
      <c r="C57" s="420">
        <f ca="1">IF($B56="","",IF($B56+1&gt;'Qredits maandlasten'!$C$7,"",EOMONTH(C56,0)+1))</f>
        <v>46631</v>
      </c>
      <c r="D57" s="418"/>
      <c r="E57" s="420">
        <f ca="1">IF($B56="","",IF($B56+1&gt;'Qredits maandlasten'!$C$7,"",F56+1))</f>
        <v>46600</v>
      </c>
      <c r="F57" s="420">
        <f ca="1">IF($B56="","",IF($B56+1&gt;'Qredits maandlasten'!$C$7,"",EOMONTH(C57,-1)))</f>
        <v>46630</v>
      </c>
      <c r="G57" s="421">
        <f ca="1">IF($B56="","",IF($B56+1&gt;'Qredits maandlasten'!$C$7,"",(_xlfn.DAYS(F57,E57)+1)/DAY(F57)))</f>
        <v>1</v>
      </c>
      <c r="H57" s="422"/>
      <c r="I57" s="423">
        <f ca="1">IF($B56="","",IF($B56+1&gt;'Qredits maandlasten'!$C$7,"",I56-J56))</f>
        <v>0</v>
      </c>
      <c r="J57" s="423">
        <f ca="1">IF($B56="","",IF($B56+1&gt;'Qredits maandlasten'!$C$7,"",IF(B56&lt;'Investering &amp; Financiering'!$E$52-1,0,IF('Qredits maandlasten'!$C$10="Lineair",'Qredits maandlasten'!$H$4,IF('Qredits maandlasten'!$C$10="Annuïteit",IFERROR('Qredits maandlasten'!$H$4-K57,0),0)))))</f>
        <v>0</v>
      </c>
      <c r="K57" s="423">
        <f ca="1">IF($B56="","",IF($B56+1&gt;'Qredits maandlasten'!$C$7,"",G57*I57*'Qredits maandlasten'!$C$8/12))</f>
        <v>0</v>
      </c>
      <c r="L57" s="423">
        <f t="shared" ca="1" si="2"/>
        <v>0</v>
      </c>
      <c r="M57" s="423">
        <f t="shared" ca="1" si="0"/>
        <v>0</v>
      </c>
      <c r="N57" s="422"/>
      <c r="O57" s="424">
        <f>IF($B57="","",'Qredits maandlasten'!$C$8/12)</f>
        <v>8.1250000000000003E-3</v>
      </c>
      <c r="P57" s="424">
        <f>IF($B57="","",'Qredits maandlasten'!$C$8/12*(POWER(1+'Qredits maandlasten'!$C$8/12,$B57-1+1)))</f>
        <v>1.1981572964651112E-2</v>
      </c>
      <c r="Q57" s="424">
        <f t="shared" ca="1" si="3"/>
        <v>0</v>
      </c>
      <c r="R57" s="422"/>
      <c r="S57" s="423">
        <f t="shared" ca="1" si="1"/>
        <v>0</v>
      </c>
      <c r="T57" s="423">
        <f ca="1">IF(S57="","",J57/(POWER(1+'Qredits maandlasten'!$C$8/12,$B57-1+1)))</f>
        <v>0</v>
      </c>
      <c r="U57" s="425">
        <f t="shared" ca="1" si="4"/>
        <v>0</v>
      </c>
      <c r="V57" s="423">
        <f ca="1">IF($B57="","",K57/(POWER(1+'Qredits maandlasten'!$C$8/12,$B57-1+1)))</f>
        <v>0</v>
      </c>
      <c r="W57" s="422"/>
      <c r="X57" s="425"/>
      <c r="Y57" s="426"/>
    </row>
    <row r="58" spans="1:25" s="427" customFormat="1" x14ac:dyDescent="0.2">
      <c r="A58" s="418"/>
      <c r="B58" s="419">
        <f>IF($B57="","",IF($B57+1&gt;'Qredits maandlasten'!$C$7,"",Schema!B57+1))</f>
        <v>49</v>
      </c>
      <c r="C58" s="420">
        <f ca="1">IF($B57="","",IF($B57+1&gt;'Qredits maandlasten'!$C$7,"",EOMONTH(C57,0)+1))</f>
        <v>46661</v>
      </c>
      <c r="D58" s="418"/>
      <c r="E58" s="420">
        <f ca="1">IF($B57="","",IF($B57+1&gt;'Qredits maandlasten'!$C$7,"",F57+1))</f>
        <v>46631</v>
      </c>
      <c r="F58" s="420">
        <f ca="1">IF($B57="","",IF($B57+1&gt;'Qredits maandlasten'!$C$7,"",EOMONTH(C58,-1)))</f>
        <v>46660</v>
      </c>
      <c r="G58" s="421">
        <f ca="1">IF($B57="","",IF($B57+1&gt;'Qredits maandlasten'!$C$7,"",(_xlfn.DAYS(F58,E58)+1)/DAY(F58)))</f>
        <v>1</v>
      </c>
      <c r="H58" s="422"/>
      <c r="I58" s="423">
        <f ca="1">IF($B57="","",IF($B57+1&gt;'Qredits maandlasten'!$C$7,"",I57-J57))</f>
        <v>0</v>
      </c>
      <c r="J58" s="423">
        <f ca="1">IF($B57="","",IF($B57+1&gt;'Qredits maandlasten'!$C$7,"",IF(B57&lt;'Investering &amp; Financiering'!$E$52-1,0,IF('Qredits maandlasten'!$C$10="Lineair",'Qredits maandlasten'!$H$4,IF('Qredits maandlasten'!$C$10="Annuïteit",IFERROR('Qredits maandlasten'!$H$4-K58,0),0)))))</f>
        <v>0</v>
      </c>
      <c r="K58" s="423">
        <f ca="1">IF($B57="","",IF($B57+1&gt;'Qredits maandlasten'!$C$7,"",G58*I58*'Qredits maandlasten'!$C$8/12))</f>
        <v>0</v>
      </c>
      <c r="L58" s="423">
        <f t="shared" ca="1" si="2"/>
        <v>0</v>
      </c>
      <c r="M58" s="423">
        <f t="shared" ca="1" si="0"/>
        <v>0</v>
      </c>
      <c r="N58" s="422"/>
      <c r="O58" s="424">
        <f>IF($B58="","",'Qredits maandlasten'!$C$8/12)</f>
        <v>8.1250000000000003E-3</v>
      </c>
      <c r="P58" s="424">
        <f>IF($B58="","",'Qredits maandlasten'!$C$8/12*(POWER(1+'Qredits maandlasten'!$C$8/12,$B58-1+1)))</f>
        <v>1.2078923244988901E-2</v>
      </c>
      <c r="Q58" s="424">
        <f t="shared" ca="1" si="3"/>
        <v>0</v>
      </c>
      <c r="R58" s="422"/>
      <c r="S58" s="423">
        <f t="shared" ca="1" si="1"/>
        <v>0</v>
      </c>
      <c r="T58" s="423">
        <f ca="1">IF(S58="","",J58/(POWER(1+'Qredits maandlasten'!$C$8/12,$B58-1+1)))</f>
        <v>0</v>
      </c>
      <c r="U58" s="425">
        <f t="shared" ca="1" si="4"/>
        <v>0</v>
      </c>
      <c r="V58" s="423">
        <f ca="1">IF($B58="","",K58/(POWER(1+'Qredits maandlasten'!$C$8/12,$B58-1+1)))</f>
        <v>0</v>
      </c>
      <c r="W58" s="422"/>
      <c r="X58" s="425"/>
      <c r="Y58" s="426"/>
    </row>
    <row r="59" spans="1:25" s="427" customFormat="1" x14ac:dyDescent="0.2">
      <c r="A59" s="418"/>
      <c r="B59" s="419">
        <f>IF($B58="","",IF($B58+1&gt;'Qredits maandlasten'!$C$7,"",Schema!B58+1))</f>
        <v>50</v>
      </c>
      <c r="C59" s="420">
        <f ca="1">IF($B58="","",IF($B58+1&gt;'Qredits maandlasten'!$C$7,"",EOMONTH(C58,0)+1))</f>
        <v>46692</v>
      </c>
      <c r="D59" s="418"/>
      <c r="E59" s="420">
        <f ca="1">IF($B58="","",IF($B58+1&gt;'Qredits maandlasten'!$C$7,"",F58+1))</f>
        <v>46661</v>
      </c>
      <c r="F59" s="420">
        <f ca="1">IF($B58="","",IF($B58+1&gt;'Qredits maandlasten'!$C$7,"",EOMONTH(C59,-1)))</f>
        <v>46691</v>
      </c>
      <c r="G59" s="421">
        <f ca="1">IF($B58="","",IF($B58+1&gt;'Qredits maandlasten'!$C$7,"",(_xlfn.DAYS(F59,E59)+1)/DAY(F59)))</f>
        <v>1</v>
      </c>
      <c r="H59" s="422"/>
      <c r="I59" s="423">
        <f ca="1">IF($B58="","",IF($B58+1&gt;'Qredits maandlasten'!$C$7,"",I58-J58))</f>
        <v>0</v>
      </c>
      <c r="J59" s="423">
        <f ca="1">IF($B58="","",IF($B58+1&gt;'Qredits maandlasten'!$C$7,"",IF(B58&lt;'Investering &amp; Financiering'!$E$52-1,0,IF('Qredits maandlasten'!$C$10="Lineair",'Qredits maandlasten'!$H$4,IF('Qredits maandlasten'!$C$10="Annuïteit",IFERROR('Qredits maandlasten'!$H$4-K59,0),0)))))</f>
        <v>0</v>
      </c>
      <c r="K59" s="423">
        <f ca="1">IF($B58="","",IF($B58+1&gt;'Qredits maandlasten'!$C$7,"",G59*I59*'Qredits maandlasten'!$C$8/12))</f>
        <v>0</v>
      </c>
      <c r="L59" s="423">
        <f t="shared" ca="1" si="2"/>
        <v>0</v>
      </c>
      <c r="M59" s="423">
        <f t="shared" ca="1" si="0"/>
        <v>0</v>
      </c>
      <c r="N59" s="422"/>
      <c r="O59" s="424">
        <f>IF($B59="","",'Qredits maandlasten'!$C$8/12)</f>
        <v>8.1250000000000003E-3</v>
      </c>
      <c r="P59" s="424">
        <f>IF($B59="","",'Qredits maandlasten'!$C$8/12*(POWER(1+'Qredits maandlasten'!$C$8/12,$B59-1+1)))</f>
        <v>1.2177064496354436E-2</v>
      </c>
      <c r="Q59" s="424">
        <f t="shared" ca="1" si="3"/>
        <v>0</v>
      </c>
      <c r="R59" s="422"/>
      <c r="S59" s="423">
        <f t="shared" ca="1" si="1"/>
        <v>0</v>
      </c>
      <c r="T59" s="423">
        <f ca="1">IF(S59="","",J59/(POWER(1+'Qredits maandlasten'!$C$8/12,$B59-1+1)))</f>
        <v>0</v>
      </c>
      <c r="U59" s="425">
        <f t="shared" ca="1" si="4"/>
        <v>0</v>
      </c>
      <c r="V59" s="423">
        <f ca="1">IF($B59="","",K59/(POWER(1+'Qredits maandlasten'!$C$8/12,$B59-1+1)))</f>
        <v>0</v>
      </c>
      <c r="W59" s="422"/>
      <c r="X59" s="425"/>
      <c r="Y59" s="426"/>
    </row>
    <row r="60" spans="1:25" s="427" customFormat="1" x14ac:dyDescent="0.2">
      <c r="A60" s="418"/>
      <c r="B60" s="419">
        <f>IF($B59="","",IF($B59+1&gt;'Qredits maandlasten'!$C$7,"",Schema!B59+1))</f>
        <v>51</v>
      </c>
      <c r="C60" s="420">
        <f ca="1">IF($B59="","",IF($B59+1&gt;'Qredits maandlasten'!$C$7,"",EOMONTH(C59,0)+1))</f>
        <v>46722</v>
      </c>
      <c r="D60" s="418"/>
      <c r="E60" s="420">
        <f ca="1">IF($B59="","",IF($B59+1&gt;'Qredits maandlasten'!$C$7,"",F59+1))</f>
        <v>46692</v>
      </c>
      <c r="F60" s="420">
        <f ca="1">IF($B59="","",IF($B59+1&gt;'Qredits maandlasten'!$C$7,"",EOMONTH(C60,-1)))</f>
        <v>46721</v>
      </c>
      <c r="G60" s="421">
        <f ca="1">IF($B59="","",IF($B59+1&gt;'Qredits maandlasten'!$C$7,"",(_xlfn.DAYS(F60,E60)+1)/DAY(F60)))</f>
        <v>1</v>
      </c>
      <c r="H60" s="422"/>
      <c r="I60" s="423">
        <f ca="1">IF($B59="","",IF($B59+1&gt;'Qredits maandlasten'!$C$7,"",I59-J59))</f>
        <v>0</v>
      </c>
      <c r="J60" s="423">
        <f ca="1">IF($B59="","",IF($B59+1&gt;'Qredits maandlasten'!$C$7,"",IF(B59&lt;'Investering &amp; Financiering'!$E$52-1,0,IF('Qredits maandlasten'!$C$10="Lineair",'Qredits maandlasten'!$H$4,IF('Qredits maandlasten'!$C$10="Annuïteit",IFERROR('Qredits maandlasten'!$H$4-K60,0),0)))))</f>
        <v>0</v>
      </c>
      <c r="K60" s="423">
        <f ca="1">IF($B59="","",IF($B59+1&gt;'Qredits maandlasten'!$C$7,"",G60*I60*'Qredits maandlasten'!$C$8/12))</f>
        <v>0</v>
      </c>
      <c r="L60" s="423">
        <f t="shared" ca="1" si="2"/>
        <v>0</v>
      </c>
      <c r="M60" s="423">
        <f t="shared" ca="1" si="0"/>
        <v>0</v>
      </c>
      <c r="N60" s="422"/>
      <c r="O60" s="424">
        <f>IF($B60="","",'Qredits maandlasten'!$C$8/12)</f>
        <v>8.1250000000000003E-3</v>
      </c>
      <c r="P60" s="424">
        <f>IF($B60="","",'Qredits maandlasten'!$C$8/12*(POWER(1+'Qredits maandlasten'!$C$8/12,$B60-1+1)))</f>
        <v>1.2276003145387314E-2</v>
      </c>
      <c r="Q60" s="424">
        <f t="shared" ca="1" si="3"/>
        <v>0</v>
      </c>
      <c r="R60" s="422"/>
      <c r="S60" s="423">
        <f t="shared" ca="1" si="1"/>
        <v>0</v>
      </c>
      <c r="T60" s="423">
        <f ca="1">IF(S60="","",J60/(POWER(1+'Qredits maandlasten'!$C$8/12,$B60-1+1)))</f>
        <v>0</v>
      </c>
      <c r="U60" s="425">
        <f t="shared" ca="1" si="4"/>
        <v>0</v>
      </c>
      <c r="V60" s="423">
        <f ca="1">IF($B60="","",K60/(POWER(1+'Qredits maandlasten'!$C$8/12,$B60-1+1)))</f>
        <v>0</v>
      </c>
      <c r="W60" s="422"/>
      <c r="X60" s="425"/>
      <c r="Y60" s="426"/>
    </row>
    <row r="61" spans="1:25" s="427" customFormat="1" x14ac:dyDescent="0.2">
      <c r="A61" s="418"/>
      <c r="B61" s="419">
        <f>IF($B60="","",IF($B60+1&gt;'Qredits maandlasten'!$C$7,"",Schema!B60+1))</f>
        <v>52</v>
      </c>
      <c r="C61" s="420">
        <f ca="1">IF($B60="","",IF($B60+1&gt;'Qredits maandlasten'!$C$7,"",EOMONTH(C60,0)+1))</f>
        <v>46753</v>
      </c>
      <c r="D61" s="418"/>
      <c r="E61" s="420">
        <f ca="1">IF($B60="","",IF($B60+1&gt;'Qredits maandlasten'!$C$7,"",F60+1))</f>
        <v>46722</v>
      </c>
      <c r="F61" s="420">
        <f ca="1">IF($B60="","",IF($B60+1&gt;'Qredits maandlasten'!$C$7,"",EOMONTH(C61,-1)))</f>
        <v>46752</v>
      </c>
      <c r="G61" s="421">
        <f ca="1">IF($B60="","",IF($B60+1&gt;'Qredits maandlasten'!$C$7,"",(_xlfn.DAYS(F61,E61)+1)/DAY(F61)))</f>
        <v>1</v>
      </c>
      <c r="H61" s="422"/>
      <c r="I61" s="423">
        <f ca="1">IF($B60="","",IF($B60+1&gt;'Qredits maandlasten'!$C$7,"",I60-J60))</f>
        <v>0</v>
      </c>
      <c r="J61" s="423">
        <f ca="1">IF($B60="","",IF($B60+1&gt;'Qredits maandlasten'!$C$7,"",IF(B60&lt;'Investering &amp; Financiering'!$E$52-1,0,IF('Qredits maandlasten'!$C$10="Lineair",'Qredits maandlasten'!$H$4,IF('Qredits maandlasten'!$C$10="Annuïteit",IFERROR('Qredits maandlasten'!$H$4-K61,0),0)))))</f>
        <v>0</v>
      </c>
      <c r="K61" s="423">
        <f ca="1">IF($B60="","",IF($B60+1&gt;'Qredits maandlasten'!$C$7,"",G61*I61*'Qredits maandlasten'!$C$8/12))</f>
        <v>0</v>
      </c>
      <c r="L61" s="423">
        <f t="shared" ca="1" si="2"/>
        <v>0</v>
      </c>
      <c r="M61" s="423">
        <f t="shared" ca="1" si="0"/>
        <v>0</v>
      </c>
      <c r="N61" s="422"/>
      <c r="O61" s="424">
        <f>IF($B61="","",'Qredits maandlasten'!$C$8/12)</f>
        <v>8.1250000000000003E-3</v>
      </c>
      <c r="P61" s="424">
        <f>IF($B61="","",'Qredits maandlasten'!$C$8/12*(POWER(1+'Qredits maandlasten'!$C$8/12,$B61-1+1)))</f>
        <v>1.2375745670943588E-2</v>
      </c>
      <c r="Q61" s="424">
        <f t="shared" ca="1" si="3"/>
        <v>0</v>
      </c>
      <c r="R61" s="422"/>
      <c r="S61" s="423">
        <f t="shared" ca="1" si="1"/>
        <v>0</v>
      </c>
      <c r="T61" s="423">
        <f ca="1">IF(S61="","",J61/(POWER(1+'Qredits maandlasten'!$C$8/12,$B61-1+1)))</f>
        <v>0</v>
      </c>
      <c r="U61" s="425">
        <f t="shared" ca="1" si="4"/>
        <v>0</v>
      </c>
      <c r="V61" s="423">
        <f ca="1">IF($B61="","",K61/(POWER(1+'Qredits maandlasten'!$C$8/12,$B61-1+1)))</f>
        <v>0</v>
      </c>
      <c r="W61" s="422"/>
      <c r="X61" s="425"/>
      <c r="Y61" s="426"/>
    </row>
    <row r="62" spans="1:25" s="427" customFormat="1" x14ac:dyDescent="0.2">
      <c r="A62" s="418"/>
      <c r="B62" s="419">
        <f>IF($B61="","",IF($B61+1&gt;'Qredits maandlasten'!$C$7,"",Schema!B61+1))</f>
        <v>53</v>
      </c>
      <c r="C62" s="420">
        <f ca="1">IF($B61="","",IF($B61+1&gt;'Qredits maandlasten'!$C$7,"",EOMONTH(C61,0)+1))</f>
        <v>46784</v>
      </c>
      <c r="D62" s="418"/>
      <c r="E62" s="420">
        <f ca="1">IF($B61="","",IF($B61+1&gt;'Qredits maandlasten'!$C$7,"",F61+1))</f>
        <v>46753</v>
      </c>
      <c r="F62" s="420">
        <f ca="1">IF($B61="","",IF($B61+1&gt;'Qredits maandlasten'!$C$7,"",EOMONTH(C62,-1)))</f>
        <v>46783</v>
      </c>
      <c r="G62" s="421">
        <f ca="1">IF($B61="","",IF($B61+1&gt;'Qredits maandlasten'!$C$7,"",(_xlfn.DAYS(F62,E62)+1)/DAY(F62)))</f>
        <v>1</v>
      </c>
      <c r="H62" s="422"/>
      <c r="I62" s="423">
        <f ca="1">IF($B61="","",IF($B61+1&gt;'Qredits maandlasten'!$C$7,"",I61-J61))</f>
        <v>0</v>
      </c>
      <c r="J62" s="423">
        <f ca="1">IF($B61="","",IF($B61+1&gt;'Qredits maandlasten'!$C$7,"",IF(B61&lt;'Investering &amp; Financiering'!$E$52-1,0,IF('Qredits maandlasten'!$C$10="Lineair",'Qredits maandlasten'!$H$4,IF('Qredits maandlasten'!$C$10="Annuïteit",IFERROR('Qredits maandlasten'!$H$4-K62,0),0)))))</f>
        <v>0</v>
      </c>
      <c r="K62" s="423">
        <f ca="1">IF($B61="","",IF($B61+1&gt;'Qredits maandlasten'!$C$7,"",G62*I62*'Qredits maandlasten'!$C$8/12))</f>
        <v>0</v>
      </c>
      <c r="L62" s="423">
        <f t="shared" ca="1" si="2"/>
        <v>0</v>
      </c>
      <c r="M62" s="423">
        <f t="shared" ca="1" si="0"/>
        <v>0</v>
      </c>
      <c r="N62" s="422"/>
      <c r="O62" s="424">
        <f>IF($B62="","",'Qredits maandlasten'!$C$8/12)</f>
        <v>8.1250000000000003E-3</v>
      </c>
      <c r="P62" s="424">
        <f>IF($B62="","",'Qredits maandlasten'!$C$8/12*(POWER(1+'Qredits maandlasten'!$C$8/12,$B62-1+1)))</f>
        <v>1.2476298604520002E-2</v>
      </c>
      <c r="Q62" s="424">
        <f t="shared" ca="1" si="3"/>
        <v>0</v>
      </c>
      <c r="R62" s="422"/>
      <c r="S62" s="423">
        <f t="shared" ca="1" si="1"/>
        <v>0</v>
      </c>
      <c r="T62" s="423">
        <f ca="1">IF(S62="","",J62/(POWER(1+'Qredits maandlasten'!$C$8/12,$B62-1+1)))</f>
        <v>0</v>
      </c>
      <c r="U62" s="425">
        <f t="shared" ca="1" si="4"/>
        <v>0</v>
      </c>
      <c r="V62" s="423">
        <f ca="1">IF($B62="","",K62/(POWER(1+'Qredits maandlasten'!$C$8/12,$B62-1+1)))</f>
        <v>0</v>
      </c>
      <c r="W62" s="422"/>
      <c r="X62" s="425"/>
      <c r="Y62" s="426"/>
    </row>
    <row r="63" spans="1:25" s="427" customFormat="1" x14ac:dyDescent="0.2">
      <c r="A63" s="418"/>
      <c r="B63" s="419">
        <f>IF($B62="","",IF($B62+1&gt;'Qredits maandlasten'!$C$7,"",Schema!B62+1))</f>
        <v>54</v>
      </c>
      <c r="C63" s="420">
        <f ca="1">IF($B62="","",IF($B62+1&gt;'Qredits maandlasten'!$C$7,"",EOMONTH(C62,0)+1))</f>
        <v>46813</v>
      </c>
      <c r="D63" s="418"/>
      <c r="E63" s="420">
        <f ca="1">IF($B62="","",IF($B62+1&gt;'Qredits maandlasten'!$C$7,"",F62+1))</f>
        <v>46784</v>
      </c>
      <c r="F63" s="420">
        <f ca="1">IF($B62="","",IF($B62+1&gt;'Qredits maandlasten'!$C$7,"",EOMONTH(C63,-1)))</f>
        <v>46812</v>
      </c>
      <c r="G63" s="421">
        <f ca="1">IF($B62="","",IF($B62+1&gt;'Qredits maandlasten'!$C$7,"",(_xlfn.DAYS(F63,E63)+1)/DAY(F63)))</f>
        <v>1</v>
      </c>
      <c r="H63" s="422"/>
      <c r="I63" s="423">
        <f ca="1">IF($B62="","",IF($B62+1&gt;'Qredits maandlasten'!$C$7,"",I62-J62))</f>
        <v>0</v>
      </c>
      <c r="J63" s="423">
        <f ca="1">IF($B62="","",IF($B62+1&gt;'Qredits maandlasten'!$C$7,"",IF(B62&lt;'Investering &amp; Financiering'!$E$52-1,0,IF('Qredits maandlasten'!$C$10="Lineair",'Qredits maandlasten'!$H$4,IF('Qredits maandlasten'!$C$10="Annuïteit",IFERROR('Qredits maandlasten'!$H$4-K63,0),0)))))</f>
        <v>0</v>
      </c>
      <c r="K63" s="423">
        <f ca="1">IF($B62="","",IF($B62+1&gt;'Qredits maandlasten'!$C$7,"",G63*I63*'Qredits maandlasten'!$C$8/12))</f>
        <v>0</v>
      </c>
      <c r="L63" s="423">
        <f t="shared" ca="1" si="2"/>
        <v>0</v>
      </c>
      <c r="M63" s="423">
        <f t="shared" ca="1" si="0"/>
        <v>0</v>
      </c>
      <c r="N63" s="422"/>
      <c r="O63" s="424">
        <f>IF($B63="","",'Qredits maandlasten'!$C$8/12)</f>
        <v>8.1250000000000003E-3</v>
      </c>
      <c r="P63" s="424">
        <f>IF($B63="","",'Qredits maandlasten'!$C$8/12*(POWER(1+'Qredits maandlasten'!$C$8/12,$B63-1+1)))</f>
        <v>1.257766853068173E-2</v>
      </c>
      <c r="Q63" s="424">
        <f t="shared" ca="1" si="3"/>
        <v>0</v>
      </c>
      <c r="R63" s="422"/>
      <c r="S63" s="423">
        <f t="shared" ca="1" si="1"/>
        <v>0</v>
      </c>
      <c r="T63" s="423">
        <f ca="1">IF(S63="","",J63/(POWER(1+'Qredits maandlasten'!$C$8/12,$B63-1+1)))</f>
        <v>0</v>
      </c>
      <c r="U63" s="425">
        <f t="shared" ca="1" si="4"/>
        <v>0</v>
      </c>
      <c r="V63" s="423">
        <f ca="1">IF($B63="","",K63/(POWER(1+'Qredits maandlasten'!$C$8/12,$B63-1+1)))</f>
        <v>0</v>
      </c>
      <c r="W63" s="422"/>
      <c r="X63" s="425"/>
      <c r="Y63" s="426"/>
    </row>
    <row r="64" spans="1:25" s="427" customFormat="1" x14ac:dyDescent="0.2">
      <c r="A64" s="418"/>
      <c r="B64" s="419">
        <f>IF($B63="","",IF($B63+1&gt;'Qredits maandlasten'!$C$7,"",Schema!B63+1))</f>
        <v>55</v>
      </c>
      <c r="C64" s="420">
        <f ca="1">IF($B63="","",IF($B63+1&gt;'Qredits maandlasten'!$C$7,"",EOMONTH(C63,0)+1))</f>
        <v>46844</v>
      </c>
      <c r="D64" s="418"/>
      <c r="E64" s="420">
        <f ca="1">IF($B63="","",IF($B63+1&gt;'Qredits maandlasten'!$C$7,"",F63+1))</f>
        <v>46813</v>
      </c>
      <c r="F64" s="420">
        <f ca="1">IF($B63="","",IF($B63+1&gt;'Qredits maandlasten'!$C$7,"",EOMONTH(C64,-1)))</f>
        <v>46843</v>
      </c>
      <c r="G64" s="421">
        <f ca="1">IF($B63="","",IF($B63+1&gt;'Qredits maandlasten'!$C$7,"",(_xlfn.DAYS(F64,E64)+1)/DAY(F64)))</f>
        <v>1</v>
      </c>
      <c r="H64" s="422"/>
      <c r="I64" s="423">
        <f ca="1">IF($B63="","",IF($B63+1&gt;'Qredits maandlasten'!$C$7,"",I63-J63))</f>
        <v>0</v>
      </c>
      <c r="J64" s="423">
        <f ca="1">IF($B63="","",IF($B63+1&gt;'Qredits maandlasten'!$C$7,"",IF(B63&lt;'Investering &amp; Financiering'!$E$52-1,0,IF('Qredits maandlasten'!$C$10="Lineair",'Qredits maandlasten'!$H$4,IF('Qredits maandlasten'!$C$10="Annuïteit",IFERROR('Qredits maandlasten'!$H$4-K64,0),0)))))</f>
        <v>0</v>
      </c>
      <c r="K64" s="423">
        <f ca="1">IF($B63="","",IF($B63+1&gt;'Qredits maandlasten'!$C$7,"",G64*I64*'Qredits maandlasten'!$C$8/12))</f>
        <v>0</v>
      </c>
      <c r="L64" s="423">
        <f t="shared" ca="1" si="2"/>
        <v>0</v>
      </c>
      <c r="M64" s="423">
        <f t="shared" ca="1" si="0"/>
        <v>0</v>
      </c>
      <c r="N64" s="422"/>
      <c r="O64" s="424">
        <f>IF($B64="","",'Qredits maandlasten'!$C$8/12)</f>
        <v>8.1250000000000003E-3</v>
      </c>
      <c r="P64" s="424">
        <f>IF($B64="","",'Qredits maandlasten'!$C$8/12*(POWER(1+'Qredits maandlasten'!$C$8/12,$B64-1+1)))</f>
        <v>1.2679862087493514E-2</v>
      </c>
      <c r="Q64" s="424">
        <f t="shared" ca="1" si="3"/>
        <v>0</v>
      </c>
      <c r="R64" s="422"/>
      <c r="S64" s="423">
        <f t="shared" ca="1" si="1"/>
        <v>0</v>
      </c>
      <c r="T64" s="423">
        <f ca="1">IF(S64="","",J64/(POWER(1+'Qredits maandlasten'!$C$8/12,$B64-1+1)))</f>
        <v>0</v>
      </c>
      <c r="U64" s="425">
        <f t="shared" ca="1" si="4"/>
        <v>0</v>
      </c>
      <c r="V64" s="423">
        <f ca="1">IF($B64="","",K64/(POWER(1+'Qredits maandlasten'!$C$8/12,$B64-1+1)))</f>
        <v>0</v>
      </c>
      <c r="W64" s="422"/>
      <c r="X64" s="425"/>
      <c r="Y64" s="426"/>
    </row>
    <row r="65" spans="1:25" s="427" customFormat="1" x14ac:dyDescent="0.2">
      <c r="A65" s="418"/>
      <c r="B65" s="419">
        <f>IF($B64="","",IF($B64+1&gt;'Qredits maandlasten'!$C$7,"",Schema!B64+1))</f>
        <v>56</v>
      </c>
      <c r="C65" s="420">
        <f ca="1">IF($B64="","",IF($B64+1&gt;'Qredits maandlasten'!$C$7,"",EOMONTH(C64,0)+1))</f>
        <v>46874</v>
      </c>
      <c r="D65" s="418"/>
      <c r="E65" s="420">
        <f ca="1">IF($B64="","",IF($B64+1&gt;'Qredits maandlasten'!$C$7,"",F64+1))</f>
        <v>46844</v>
      </c>
      <c r="F65" s="420">
        <f ca="1">IF($B64="","",IF($B64+1&gt;'Qredits maandlasten'!$C$7,"",EOMONTH(C65,-1)))</f>
        <v>46873</v>
      </c>
      <c r="G65" s="421">
        <f ca="1">IF($B64="","",IF($B64+1&gt;'Qredits maandlasten'!$C$7,"",(_xlfn.DAYS(F65,E65)+1)/DAY(F65)))</f>
        <v>1</v>
      </c>
      <c r="H65" s="422"/>
      <c r="I65" s="423">
        <f ca="1">IF($B64="","",IF($B64+1&gt;'Qredits maandlasten'!$C$7,"",I64-J64))</f>
        <v>0</v>
      </c>
      <c r="J65" s="423">
        <f ca="1">IF($B64="","",IF($B64+1&gt;'Qredits maandlasten'!$C$7,"",IF(B64&lt;'Investering &amp; Financiering'!$E$52-1,0,IF('Qredits maandlasten'!$C$10="Lineair",'Qredits maandlasten'!$H$4,IF('Qredits maandlasten'!$C$10="Annuïteit",IFERROR('Qredits maandlasten'!$H$4-K65,0),0)))))</f>
        <v>0</v>
      </c>
      <c r="K65" s="423">
        <f ca="1">IF($B64="","",IF($B64+1&gt;'Qredits maandlasten'!$C$7,"",G65*I65*'Qredits maandlasten'!$C$8/12))</f>
        <v>0</v>
      </c>
      <c r="L65" s="423">
        <f t="shared" ca="1" si="2"/>
        <v>0</v>
      </c>
      <c r="M65" s="423">
        <f t="shared" ca="1" si="0"/>
        <v>0</v>
      </c>
      <c r="N65" s="422"/>
      <c r="O65" s="424">
        <f>IF($B65="","",'Qredits maandlasten'!$C$8/12)</f>
        <v>8.1250000000000003E-3</v>
      </c>
      <c r="P65" s="424">
        <f>IF($B65="","",'Qredits maandlasten'!$C$8/12*(POWER(1+'Qredits maandlasten'!$C$8/12,$B65-1+1)))</f>
        <v>1.2782885966954403E-2</v>
      </c>
      <c r="Q65" s="424">
        <f t="shared" ca="1" si="3"/>
        <v>0</v>
      </c>
      <c r="R65" s="422"/>
      <c r="S65" s="423">
        <f t="shared" ca="1" si="1"/>
        <v>0</v>
      </c>
      <c r="T65" s="423">
        <f ca="1">IF(S65="","",J65/(POWER(1+'Qredits maandlasten'!$C$8/12,$B65-1+1)))</f>
        <v>0</v>
      </c>
      <c r="U65" s="425">
        <f t="shared" ca="1" si="4"/>
        <v>0</v>
      </c>
      <c r="V65" s="423">
        <f ca="1">IF($B65="","",K65/(POWER(1+'Qredits maandlasten'!$C$8/12,$B65-1+1)))</f>
        <v>0</v>
      </c>
      <c r="W65" s="422"/>
      <c r="X65" s="425"/>
      <c r="Y65" s="426"/>
    </row>
    <row r="66" spans="1:25" s="427" customFormat="1" x14ac:dyDescent="0.2">
      <c r="A66" s="418"/>
      <c r="B66" s="419">
        <f>IF($B65="","",IF($B65+1&gt;'Qredits maandlasten'!$C$7,"",Schema!B65+1))</f>
        <v>57</v>
      </c>
      <c r="C66" s="420">
        <f ca="1">IF($B65="","",IF($B65+1&gt;'Qredits maandlasten'!$C$7,"",EOMONTH(C65,0)+1))</f>
        <v>46905</v>
      </c>
      <c r="D66" s="418"/>
      <c r="E66" s="420">
        <f ca="1">IF($B65="","",IF($B65+1&gt;'Qredits maandlasten'!$C$7,"",F65+1))</f>
        <v>46874</v>
      </c>
      <c r="F66" s="420">
        <f ca="1">IF($B65="","",IF($B65+1&gt;'Qredits maandlasten'!$C$7,"",EOMONTH(C66,-1)))</f>
        <v>46904</v>
      </c>
      <c r="G66" s="421">
        <f ca="1">IF($B65="","",IF($B65+1&gt;'Qredits maandlasten'!$C$7,"",(_xlfn.DAYS(F66,E66)+1)/DAY(F66)))</f>
        <v>1</v>
      </c>
      <c r="H66" s="422"/>
      <c r="I66" s="423">
        <f ca="1">IF($B65="","",IF($B65+1&gt;'Qredits maandlasten'!$C$7,"",I65-J65))</f>
        <v>0</v>
      </c>
      <c r="J66" s="423">
        <f ca="1">IF($B65="","",IF($B65+1&gt;'Qredits maandlasten'!$C$7,"",IF(B65&lt;'Investering &amp; Financiering'!$E$52-1,0,IF('Qredits maandlasten'!$C$10="Lineair",'Qredits maandlasten'!$H$4,IF('Qredits maandlasten'!$C$10="Annuïteit",IFERROR('Qredits maandlasten'!$H$4-K66,0),0)))))</f>
        <v>0</v>
      </c>
      <c r="K66" s="423">
        <f ca="1">IF($B65="","",IF($B65+1&gt;'Qredits maandlasten'!$C$7,"",G66*I66*'Qredits maandlasten'!$C$8/12))</f>
        <v>0</v>
      </c>
      <c r="L66" s="423">
        <f t="shared" ca="1" si="2"/>
        <v>0</v>
      </c>
      <c r="M66" s="423">
        <f t="shared" ca="1" si="0"/>
        <v>0</v>
      </c>
      <c r="N66" s="422"/>
      <c r="O66" s="424">
        <f>IF($B66="","",'Qredits maandlasten'!$C$8/12)</f>
        <v>8.1250000000000003E-3</v>
      </c>
      <c r="P66" s="424">
        <f>IF($B66="","",'Qredits maandlasten'!$C$8/12*(POWER(1+'Qredits maandlasten'!$C$8/12,$B66-1+1)))</f>
        <v>1.2886746915435905E-2</v>
      </c>
      <c r="Q66" s="424">
        <f t="shared" ca="1" si="3"/>
        <v>0</v>
      </c>
      <c r="R66" s="422"/>
      <c r="S66" s="423">
        <f t="shared" ca="1" si="1"/>
        <v>0</v>
      </c>
      <c r="T66" s="423">
        <f ca="1">IF(S66="","",J66/(POWER(1+'Qredits maandlasten'!$C$8/12,$B66-1+1)))</f>
        <v>0</v>
      </c>
      <c r="U66" s="425">
        <f t="shared" ca="1" si="4"/>
        <v>0</v>
      </c>
      <c r="V66" s="423">
        <f ca="1">IF($B66="","",K66/(POWER(1+'Qredits maandlasten'!$C$8/12,$B66-1+1)))</f>
        <v>0</v>
      </c>
      <c r="W66" s="422"/>
      <c r="X66" s="425"/>
      <c r="Y66" s="426"/>
    </row>
    <row r="67" spans="1:25" s="427" customFormat="1" x14ac:dyDescent="0.2">
      <c r="A67" s="418"/>
      <c r="B67" s="419">
        <f>IF($B66="","",IF($B66+1&gt;'Qredits maandlasten'!$C$7,"",Schema!B66+1))</f>
        <v>58</v>
      </c>
      <c r="C67" s="420">
        <f ca="1">IF($B66="","",IF($B66+1&gt;'Qredits maandlasten'!$C$7,"",EOMONTH(C66,0)+1))</f>
        <v>46935</v>
      </c>
      <c r="D67" s="418"/>
      <c r="E67" s="420">
        <f ca="1">IF($B66="","",IF($B66+1&gt;'Qredits maandlasten'!$C$7,"",F66+1))</f>
        <v>46905</v>
      </c>
      <c r="F67" s="420">
        <f ca="1">IF($B66="","",IF($B66+1&gt;'Qredits maandlasten'!$C$7,"",EOMONTH(C67,-1)))</f>
        <v>46934</v>
      </c>
      <c r="G67" s="421">
        <f ca="1">IF($B66="","",IF($B66+1&gt;'Qredits maandlasten'!$C$7,"",(_xlfn.DAYS(F67,E67)+1)/DAY(F67)))</f>
        <v>1</v>
      </c>
      <c r="H67" s="422"/>
      <c r="I67" s="423">
        <f ca="1">IF($B66="","",IF($B66+1&gt;'Qredits maandlasten'!$C$7,"",I66-J66))</f>
        <v>0</v>
      </c>
      <c r="J67" s="423">
        <f ca="1">IF($B66="","",IF($B66+1&gt;'Qredits maandlasten'!$C$7,"",IF(B66&lt;'Investering &amp; Financiering'!$E$52-1,0,IF('Qredits maandlasten'!$C$10="Lineair",'Qredits maandlasten'!$H$4,IF('Qredits maandlasten'!$C$10="Annuïteit",IFERROR('Qredits maandlasten'!$H$4-K67,0),0)))))</f>
        <v>0</v>
      </c>
      <c r="K67" s="423">
        <f ca="1">IF($B66="","",IF($B66+1&gt;'Qredits maandlasten'!$C$7,"",G67*I67*'Qredits maandlasten'!$C$8/12))</f>
        <v>0</v>
      </c>
      <c r="L67" s="423">
        <f t="shared" ca="1" si="2"/>
        <v>0</v>
      </c>
      <c r="M67" s="423">
        <f t="shared" ca="1" si="0"/>
        <v>0</v>
      </c>
      <c r="N67" s="422"/>
      <c r="O67" s="424">
        <f>IF($B67="","",'Qredits maandlasten'!$C$8/12)</f>
        <v>8.1250000000000003E-3</v>
      </c>
      <c r="P67" s="424">
        <f>IF($B67="","",'Qredits maandlasten'!$C$8/12*(POWER(1+'Qredits maandlasten'!$C$8/12,$B67-1+1)))</f>
        <v>1.2991451734123824E-2</v>
      </c>
      <c r="Q67" s="424">
        <f t="shared" ca="1" si="3"/>
        <v>0</v>
      </c>
      <c r="R67" s="422"/>
      <c r="S67" s="423">
        <f t="shared" ca="1" si="1"/>
        <v>0</v>
      </c>
      <c r="T67" s="423">
        <f ca="1">IF(S67="","",J67/(POWER(1+'Qredits maandlasten'!$C$8/12,$B67-1+1)))</f>
        <v>0</v>
      </c>
      <c r="U67" s="425">
        <f t="shared" ca="1" si="4"/>
        <v>0</v>
      </c>
      <c r="V67" s="423">
        <f ca="1">IF($B67="","",K67/(POWER(1+'Qredits maandlasten'!$C$8/12,$B67-1+1)))</f>
        <v>0</v>
      </c>
      <c r="W67" s="422"/>
      <c r="X67" s="425"/>
      <c r="Y67" s="426"/>
    </row>
    <row r="68" spans="1:25" s="427" customFormat="1" x14ac:dyDescent="0.2">
      <c r="A68" s="418"/>
      <c r="B68" s="419">
        <f>IF($B67="","",IF($B67+1&gt;'Qredits maandlasten'!$C$7,"",Schema!B67+1))</f>
        <v>59</v>
      </c>
      <c r="C68" s="420">
        <f ca="1">IF($B67="","",IF($B67+1&gt;'Qredits maandlasten'!$C$7,"",EOMONTH(C67,0)+1))</f>
        <v>46966</v>
      </c>
      <c r="D68" s="418"/>
      <c r="E68" s="420">
        <f ca="1">IF($B67="","",IF($B67+1&gt;'Qredits maandlasten'!$C$7,"",F67+1))</f>
        <v>46935</v>
      </c>
      <c r="F68" s="420">
        <f ca="1">IF($B67="","",IF($B67+1&gt;'Qredits maandlasten'!$C$7,"",EOMONTH(C68,-1)))</f>
        <v>46965</v>
      </c>
      <c r="G68" s="421">
        <f ca="1">IF($B67="","",IF($B67+1&gt;'Qredits maandlasten'!$C$7,"",(_xlfn.DAYS(F68,E68)+1)/DAY(F68)))</f>
        <v>1</v>
      </c>
      <c r="H68" s="422"/>
      <c r="I68" s="423">
        <f ca="1">IF($B67="","",IF($B67+1&gt;'Qredits maandlasten'!$C$7,"",I67-J67))</f>
        <v>0</v>
      </c>
      <c r="J68" s="423">
        <f ca="1">IF($B67="","",IF($B67+1&gt;'Qredits maandlasten'!$C$7,"",IF(B67&lt;'Investering &amp; Financiering'!$E$52-1,0,IF('Qredits maandlasten'!$C$10="Lineair",'Qredits maandlasten'!$H$4,IF('Qredits maandlasten'!$C$10="Annuïteit",IFERROR('Qredits maandlasten'!$H$4-K68,0),0)))))</f>
        <v>0</v>
      </c>
      <c r="K68" s="423">
        <f ca="1">IF($B67="","",IF($B67+1&gt;'Qredits maandlasten'!$C$7,"",G68*I68*'Qredits maandlasten'!$C$8/12))</f>
        <v>0</v>
      </c>
      <c r="L68" s="423">
        <f t="shared" ca="1" si="2"/>
        <v>0</v>
      </c>
      <c r="M68" s="423">
        <f t="shared" ca="1" si="0"/>
        <v>0</v>
      </c>
      <c r="N68" s="422"/>
      <c r="O68" s="424">
        <f>IF($B68="","",'Qredits maandlasten'!$C$8/12)</f>
        <v>8.1250000000000003E-3</v>
      </c>
      <c r="P68" s="424">
        <f>IF($B68="","",'Qredits maandlasten'!$C$8/12*(POWER(1+'Qredits maandlasten'!$C$8/12,$B68-1+1)))</f>
        <v>1.3097007279463576E-2</v>
      </c>
      <c r="Q68" s="424">
        <f t="shared" ca="1" si="3"/>
        <v>0</v>
      </c>
      <c r="R68" s="422"/>
      <c r="S68" s="423">
        <f t="shared" ca="1" si="1"/>
        <v>0</v>
      </c>
      <c r="T68" s="423">
        <f ca="1">IF(S68="","",J68/(POWER(1+'Qredits maandlasten'!$C$8/12,$B68-1+1)))</f>
        <v>0</v>
      </c>
      <c r="U68" s="425">
        <f t="shared" ca="1" si="4"/>
        <v>0</v>
      </c>
      <c r="V68" s="423">
        <f ca="1">IF($B68="","",K68/(POWER(1+'Qredits maandlasten'!$C$8/12,$B68-1+1)))</f>
        <v>0</v>
      </c>
      <c r="W68" s="422"/>
      <c r="X68" s="425"/>
      <c r="Y68" s="426"/>
    </row>
    <row r="69" spans="1:25" s="427" customFormat="1" x14ac:dyDescent="0.2">
      <c r="A69" s="418"/>
      <c r="B69" s="419">
        <f>IF($B68="","",IF($B68+1&gt;'Qredits maandlasten'!$C$7,"",Schema!B68+1))</f>
        <v>60</v>
      </c>
      <c r="C69" s="420">
        <f ca="1">IF($B68="","",IF($B68+1&gt;'Qredits maandlasten'!$C$7,"",EOMONTH(C68,0)+1))</f>
        <v>46997</v>
      </c>
      <c r="D69" s="418"/>
      <c r="E69" s="420">
        <f ca="1">IF($B68="","",IF($B68+1&gt;'Qredits maandlasten'!$C$7,"",F68+1))</f>
        <v>46966</v>
      </c>
      <c r="F69" s="420">
        <f ca="1">IF($B68="","",IF($B68+1&gt;'Qredits maandlasten'!$C$7,"",EOMONTH(C69,-1)))</f>
        <v>46996</v>
      </c>
      <c r="G69" s="421">
        <f ca="1">IF($B68="","",IF($B68+1&gt;'Qredits maandlasten'!$C$7,"",(_xlfn.DAYS(F69,E69)+1)/DAY(F69)))</f>
        <v>1</v>
      </c>
      <c r="H69" s="422"/>
      <c r="I69" s="423">
        <f ca="1">IF($B68="","",IF($B68+1&gt;'Qredits maandlasten'!$C$7,"",I68-J68))</f>
        <v>0</v>
      </c>
      <c r="J69" s="423">
        <f ca="1">IF($B68="","",IF($B68+1&gt;'Qredits maandlasten'!$C$7,"",IF(B68&lt;'Investering &amp; Financiering'!$E$52-1,0,IF('Qredits maandlasten'!$C$10="Lineair",'Qredits maandlasten'!$H$4,IF('Qredits maandlasten'!$C$10="Annuïteit",IFERROR('Qredits maandlasten'!$H$4-K69,0),0)))))</f>
        <v>0</v>
      </c>
      <c r="K69" s="423">
        <f ca="1">IF($B68="","",IF($B68+1&gt;'Qredits maandlasten'!$C$7,"",G69*I69*'Qredits maandlasten'!$C$8/12))</f>
        <v>0</v>
      </c>
      <c r="L69" s="423">
        <f t="shared" ca="1" si="2"/>
        <v>0</v>
      </c>
      <c r="M69" s="423">
        <f t="shared" ca="1" si="0"/>
        <v>0</v>
      </c>
      <c r="N69" s="422"/>
      <c r="O69" s="424">
        <f>IF($B69="","",'Qredits maandlasten'!$C$8/12)</f>
        <v>8.1250000000000003E-3</v>
      </c>
      <c r="P69" s="424">
        <f>IF($B69="","",'Qredits maandlasten'!$C$8/12*(POWER(1+'Qredits maandlasten'!$C$8/12,$B69-1+1)))</f>
        <v>1.3203420463609217E-2</v>
      </c>
      <c r="Q69" s="424">
        <f t="shared" ca="1" si="3"/>
        <v>0</v>
      </c>
      <c r="R69" s="422"/>
      <c r="S69" s="423">
        <f t="shared" ca="1" si="1"/>
        <v>0</v>
      </c>
      <c r="T69" s="423">
        <f ca="1">IF(S69="","",J69/(POWER(1+'Qredits maandlasten'!$C$8/12,$B69-1+1)))</f>
        <v>0</v>
      </c>
      <c r="U69" s="425">
        <f t="shared" ca="1" si="4"/>
        <v>0</v>
      </c>
      <c r="V69" s="423">
        <f ca="1">IF($B69="","",K69/(POWER(1+'Qredits maandlasten'!$C$8/12,$B69-1+1)))</f>
        <v>0</v>
      </c>
      <c r="W69" s="422"/>
    </row>
    <row r="70" spans="1:25" s="427" customFormat="1" x14ac:dyDescent="0.2">
      <c r="A70" s="418"/>
      <c r="B70" s="419" t="str">
        <f>IF($B69="","",IF($B69+1&gt;'Qredits maandlasten'!$C$7,"",Schema!B69+1))</f>
        <v/>
      </c>
      <c r="C70" s="420" t="str">
        <f>IF($B69="","",IF($B69+1&gt;'Qredits maandlasten'!$C$7,"",EOMONTH(C69,0)+1))</f>
        <v/>
      </c>
      <c r="D70" s="418"/>
      <c r="E70" s="420" t="str">
        <f>IF($B69="","",IF($B69+1&gt;'Qredits maandlasten'!$C$7,"",F69+1))</f>
        <v/>
      </c>
      <c r="F70" s="420" t="str">
        <f>IF($B69="","",IF($B69+1&gt;'Qredits maandlasten'!$C$7,"",EOMONTH(C70,-1)))</f>
        <v/>
      </c>
      <c r="G70" s="421" t="str">
        <f>IF($B69="","",IF($B69+1&gt;'Qredits maandlasten'!$C$7,"",(_xlfn.DAYS(F70,E70)+1)/DAY(F70)))</f>
        <v/>
      </c>
      <c r="H70" s="422"/>
      <c r="I70" s="423" t="str">
        <f>IF($B69="","",IF($B69+1&gt;'Qredits maandlasten'!$C$7,"",I69-J69))</f>
        <v/>
      </c>
      <c r="J70" s="423" t="str">
        <f>IF($B69="","",IF($B69+1&gt;'Qredits maandlasten'!$C$7,"",IF(B69&lt;'Investering &amp; Financiering'!$E$52-1,0,IF('Qredits maandlasten'!$C$10="Lineair",'Qredits maandlasten'!$H$4,IF('Qredits maandlasten'!$C$10="Annuïteit",IFERROR('Qredits maandlasten'!$H$4-K70,0),0)))))</f>
        <v/>
      </c>
      <c r="K70" s="423" t="str">
        <f>IF($B69="","",IF($B69+1&gt;'Qredits maandlasten'!$C$7,"",G70*I70*'Qredits maandlasten'!$C$8/12))</f>
        <v/>
      </c>
      <c r="L70" s="423" t="str">
        <f t="shared" si="2"/>
        <v/>
      </c>
      <c r="M70" s="423" t="str">
        <f t="shared" si="0"/>
        <v/>
      </c>
      <c r="N70" s="422"/>
      <c r="O70" s="424" t="str">
        <f>IF($B70="","",'Qredits maandlasten'!$C$8/12)</f>
        <v/>
      </c>
      <c r="P70" s="424" t="str">
        <f>IF($B70="","",'Qredits maandlasten'!$C$8/12*(POWER(1+'Qredits maandlasten'!$C$8/12,$B70-1+1)))</f>
        <v/>
      </c>
      <c r="Q70" s="424" t="str">
        <f t="shared" si="3"/>
        <v/>
      </c>
      <c r="R70" s="422"/>
      <c r="S70" s="423" t="str">
        <f t="shared" si="1"/>
        <v/>
      </c>
      <c r="T70" s="423" t="str">
        <f>IF(S70="","",J70/(POWER(1+'Qredits maandlasten'!$C$8/12,$B70-1+1)))</f>
        <v/>
      </c>
      <c r="U70" s="425" t="str">
        <f t="shared" si="4"/>
        <v/>
      </c>
      <c r="V70" s="423" t="str">
        <f>IF($B70="","",K70/(POWER(1+'Qredits maandlasten'!$C$8/12,$B70-1+1)))</f>
        <v/>
      </c>
      <c r="W70" s="422"/>
    </row>
    <row r="71" spans="1:25" s="427" customFormat="1" x14ac:dyDescent="0.2">
      <c r="A71" s="418"/>
      <c r="B71" s="419" t="str">
        <f>IF($B70="","",IF($B70+1&gt;'Qredits maandlasten'!$C$7,"",Schema!B70+1))</f>
        <v/>
      </c>
      <c r="C71" s="420" t="str">
        <f>IF($B70="","",IF($B70+1&gt;'Qredits maandlasten'!$C$7,"",EOMONTH(C70,0)+1))</f>
        <v/>
      </c>
      <c r="D71" s="418"/>
      <c r="E71" s="420" t="str">
        <f>IF($B70="","",IF($B70+1&gt;'Qredits maandlasten'!$C$7,"",F70+1))</f>
        <v/>
      </c>
      <c r="F71" s="420" t="str">
        <f>IF($B70="","",IF($B70+1&gt;'Qredits maandlasten'!$C$7,"",EOMONTH(C71,-1)))</f>
        <v/>
      </c>
      <c r="G71" s="421" t="str">
        <f>IF($B70="","",IF($B70+1&gt;'Qredits maandlasten'!$C$7,"",(_xlfn.DAYS(F71,E71)+1)/DAY(F71)))</f>
        <v/>
      </c>
      <c r="H71" s="422"/>
      <c r="I71" s="423" t="str">
        <f>IF($B70="","",IF($B70+1&gt;'Qredits maandlasten'!$C$7,"",I70-J70))</f>
        <v/>
      </c>
      <c r="J71" s="423" t="str">
        <f>IF($B70="","",IF($B70+1&gt;'Qredits maandlasten'!$C$7,"",IF(B70&lt;'Investering &amp; Financiering'!$E$52-1,0,IF('Qredits maandlasten'!$C$10="Lineair",'Qredits maandlasten'!$H$4,IF('Qredits maandlasten'!$C$10="Annuïteit",IFERROR('Qredits maandlasten'!$H$4-K71,0),0)))))</f>
        <v/>
      </c>
      <c r="K71" s="423" t="str">
        <f>IF($B70="","",IF($B70+1&gt;'Qredits maandlasten'!$C$7,"",G71*I71*'Qredits maandlasten'!$C$8/12))</f>
        <v/>
      </c>
      <c r="L71" s="423" t="str">
        <f t="shared" si="2"/>
        <v/>
      </c>
      <c r="M71" s="423" t="str">
        <f t="shared" si="0"/>
        <v/>
      </c>
      <c r="N71" s="422"/>
      <c r="O71" s="424" t="str">
        <f>IF($B71="","",'Qredits maandlasten'!$C$8/12)</f>
        <v/>
      </c>
      <c r="P71" s="424" t="str">
        <f>IF($B71="","",'Qredits maandlasten'!$C$8/12*(POWER(1+'Qredits maandlasten'!$C$8/12,$B71-1+1)))</f>
        <v/>
      </c>
      <c r="Q71" s="424" t="str">
        <f t="shared" si="3"/>
        <v/>
      </c>
      <c r="R71" s="422"/>
      <c r="S71" s="423" t="str">
        <f t="shared" si="1"/>
        <v/>
      </c>
      <c r="T71" s="423" t="str">
        <f>IF(S71="","",J71/(POWER(1+'Qredits maandlasten'!$C$8/12,$B71-1+1)))</f>
        <v/>
      </c>
      <c r="U71" s="425" t="str">
        <f t="shared" si="4"/>
        <v/>
      </c>
      <c r="V71" s="423" t="str">
        <f>IF($B71="","",K71/(POWER(1+'Qredits maandlasten'!$C$8/12,$B71-1+1)))</f>
        <v/>
      </c>
      <c r="W71" s="422"/>
    </row>
    <row r="72" spans="1:25" s="427" customFormat="1" x14ac:dyDescent="0.2">
      <c r="A72" s="418"/>
      <c r="B72" s="419" t="str">
        <f>IF($B71="","",IF($B71+1&gt;'Qredits maandlasten'!$C$7,"",Schema!B71+1))</f>
        <v/>
      </c>
      <c r="C72" s="420" t="str">
        <f>IF($B71="","",IF($B71+1&gt;'Qredits maandlasten'!$C$7,"",EOMONTH(C71,0)+1))</f>
        <v/>
      </c>
      <c r="D72" s="418"/>
      <c r="E72" s="420" t="str">
        <f>IF($B71="","",IF($B71+1&gt;'Qredits maandlasten'!$C$7,"",F71+1))</f>
        <v/>
      </c>
      <c r="F72" s="420" t="str">
        <f>IF($B71="","",IF($B71+1&gt;'Qredits maandlasten'!$C$7,"",EOMONTH(C72,-1)))</f>
        <v/>
      </c>
      <c r="G72" s="421" t="str">
        <f>IF($B71="","",IF($B71+1&gt;'Qredits maandlasten'!$C$7,"",(_xlfn.DAYS(F72,E72)+1)/DAY(F72)))</f>
        <v/>
      </c>
      <c r="H72" s="422"/>
      <c r="I72" s="423" t="str">
        <f>IF($B71="","",IF($B71+1&gt;'Qredits maandlasten'!$C$7,"",I71-J71))</f>
        <v/>
      </c>
      <c r="J72" s="423" t="str">
        <f>IF($B71="","",IF($B71+1&gt;'Qredits maandlasten'!$C$7,"",IF(B71&lt;'Investering &amp; Financiering'!$E$52-1,0,IF('Qredits maandlasten'!$C$10="Lineair",'Qredits maandlasten'!$H$4,IF('Qredits maandlasten'!$C$10="Annuïteit",IFERROR('Qredits maandlasten'!$H$4-K72,0),0)))))</f>
        <v/>
      </c>
      <c r="K72" s="423" t="str">
        <f>IF($B71="","",IF($B71+1&gt;'Qredits maandlasten'!$C$7,"",G72*I72*'Qredits maandlasten'!$C$8/12))</f>
        <v/>
      </c>
      <c r="L72" s="423" t="str">
        <f t="shared" si="2"/>
        <v/>
      </c>
      <c r="M72" s="423" t="str">
        <f t="shared" si="0"/>
        <v/>
      </c>
      <c r="N72" s="422"/>
      <c r="O72" s="424" t="str">
        <f>IF($B72="","",'Qredits maandlasten'!$C$8/12)</f>
        <v/>
      </c>
      <c r="P72" s="424" t="str">
        <f>IF($B72="","",'Qredits maandlasten'!$C$8/12*(POWER(1+'Qredits maandlasten'!$C$8/12,$B72-1+1)))</f>
        <v/>
      </c>
      <c r="Q72" s="424" t="str">
        <f t="shared" si="3"/>
        <v/>
      </c>
      <c r="R72" s="422"/>
      <c r="S72" s="423" t="str">
        <f t="shared" si="1"/>
        <v/>
      </c>
      <c r="T72" s="423" t="str">
        <f>IF(S72="","",J72/(POWER(1+'Qredits maandlasten'!$C$8/12,$B72-1+1)))</f>
        <v/>
      </c>
      <c r="U72" s="425" t="str">
        <f t="shared" si="4"/>
        <v/>
      </c>
      <c r="V72" s="423" t="str">
        <f>IF($B72="","",K72/(POWER(1+'Qredits maandlasten'!$C$8/12,$B72-1+1)))</f>
        <v/>
      </c>
      <c r="W72" s="422"/>
    </row>
    <row r="73" spans="1:25" s="427" customFormat="1" x14ac:dyDescent="0.2">
      <c r="A73" s="418"/>
      <c r="B73" s="419" t="str">
        <f>IF($B72="","",IF($B72+1&gt;'Qredits maandlasten'!$C$7,"",Schema!B72+1))</f>
        <v/>
      </c>
      <c r="C73" s="420" t="str">
        <f>IF($B72="","",IF($B72+1&gt;'Qredits maandlasten'!$C$7,"",EOMONTH(C72,0)+1))</f>
        <v/>
      </c>
      <c r="D73" s="418"/>
      <c r="E73" s="420" t="str">
        <f>IF($B72="","",IF($B72+1&gt;'Qredits maandlasten'!$C$7,"",F72+1))</f>
        <v/>
      </c>
      <c r="F73" s="420" t="str">
        <f>IF($B72="","",IF($B72+1&gt;'Qredits maandlasten'!$C$7,"",EOMONTH(C73,-1)))</f>
        <v/>
      </c>
      <c r="G73" s="421" t="str">
        <f>IF($B72="","",IF($B72+1&gt;'Qredits maandlasten'!$C$7,"",(_xlfn.DAYS(F73,E73)+1)/DAY(F73)))</f>
        <v/>
      </c>
      <c r="H73" s="422"/>
      <c r="I73" s="423" t="str">
        <f>IF($B72="","",IF($B72+1&gt;'Qredits maandlasten'!$C$7,"",I72-J72))</f>
        <v/>
      </c>
      <c r="J73" s="423" t="str">
        <f>IF($B72="","",IF($B72+1&gt;'Qredits maandlasten'!$C$7,"",IF(B72&lt;'Investering &amp; Financiering'!$E$52-1,0,IF('Qredits maandlasten'!$C$10="Lineair",'Qredits maandlasten'!$H$4,IF('Qredits maandlasten'!$C$10="Annuïteit",IFERROR('Qredits maandlasten'!$H$4-K73,0),0)))))</f>
        <v/>
      </c>
      <c r="K73" s="423" t="str">
        <f>IF($B72="","",IF($B72+1&gt;'Qredits maandlasten'!$C$7,"",G73*I73*'Qredits maandlasten'!$C$8/12))</f>
        <v/>
      </c>
      <c r="L73" s="423" t="str">
        <f t="shared" si="2"/>
        <v/>
      </c>
      <c r="M73" s="423" t="str">
        <f t="shared" si="0"/>
        <v/>
      </c>
      <c r="N73" s="422"/>
      <c r="O73" s="424" t="str">
        <f>IF($B73="","",'Qredits maandlasten'!$C$8/12)</f>
        <v/>
      </c>
      <c r="P73" s="424" t="str">
        <f>IF($B73="","",'Qredits maandlasten'!$C$8/12*(POWER(1+'Qredits maandlasten'!$C$8/12,$B73-1+1)))</f>
        <v/>
      </c>
      <c r="Q73" s="424" t="str">
        <f t="shared" si="3"/>
        <v/>
      </c>
      <c r="R73" s="422"/>
      <c r="S73" s="423" t="str">
        <f t="shared" si="1"/>
        <v/>
      </c>
      <c r="T73" s="423" t="str">
        <f>IF(S73="","",J73/(POWER(1+'Qredits maandlasten'!$C$8/12,$B73-1+1)))</f>
        <v/>
      </c>
      <c r="U73" s="425" t="str">
        <f t="shared" si="4"/>
        <v/>
      </c>
      <c r="V73" s="423" t="str">
        <f>IF($B73="","",K73/(POWER(1+'Qredits maandlasten'!$C$8/12,$B73-1+1)))</f>
        <v/>
      </c>
      <c r="W73" s="422"/>
    </row>
    <row r="74" spans="1:25" s="427" customFormat="1" x14ac:dyDescent="0.2">
      <c r="A74" s="418"/>
      <c r="B74" s="419" t="str">
        <f>IF($B73="","",IF($B73+1&gt;'Qredits maandlasten'!$C$7,"",Schema!B73+1))</f>
        <v/>
      </c>
      <c r="C74" s="420" t="str">
        <f>IF($B73="","",IF($B73+1&gt;'Qredits maandlasten'!$C$7,"",EOMONTH(C73,0)+1))</f>
        <v/>
      </c>
      <c r="D74" s="418"/>
      <c r="E74" s="420" t="str">
        <f>IF($B73="","",IF($B73+1&gt;'Qredits maandlasten'!$C$7,"",F73+1))</f>
        <v/>
      </c>
      <c r="F74" s="420" t="str">
        <f>IF($B73="","",IF($B73+1&gt;'Qredits maandlasten'!$C$7,"",EOMONTH(C74,-1)))</f>
        <v/>
      </c>
      <c r="G74" s="421" t="str">
        <f>IF($B73="","",IF($B73+1&gt;'Qredits maandlasten'!$C$7,"",(_xlfn.DAYS(F74,E74)+1)/DAY(F74)))</f>
        <v/>
      </c>
      <c r="H74" s="422"/>
      <c r="I74" s="423" t="str">
        <f>IF($B73="","",IF($B73+1&gt;'Qredits maandlasten'!$C$7,"",I73-J73))</f>
        <v/>
      </c>
      <c r="J74" s="423" t="str">
        <f>IF($B73="","",IF($B73+1&gt;'Qredits maandlasten'!$C$7,"",IF(B73&lt;'Investering &amp; Financiering'!$E$52-1,0,IF('Qredits maandlasten'!$C$10="Lineair",'Qredits maandlasten'!$H$4,IF('Qredits maandlasten'!$C$10="Annuïteit",IFERROR('Qredits maandlasten'!$H$4-K74,0),0)))))</f>
        <v/>
      </c>
      <c r="K74" s="423" t="str">
        <f>IF($B73="","",IF($B73+1&gt;'Qredits maandlasten'!$C$7,"",G74*I74*'Qredits maandlasten'!$C$8/12))</f>
        <v/>
      </c>
      <c r="L74" s="423" t="str">
        <f t="shared" si="2"/>
        <v/>
      </c>
      <c r="M74" s="423" t="str">
        <f t="shared" ref="M74:M137" si="5">IF(S74="","",-K74-J74)</f>
        <v/>
      </c>
      <c r="N74" s="422"/>
      <c r="O74" s="424" t="str">
        <f>IF($B74="","",'Qredits maandlasten'!$C$8/12)</f>
        <v/>
      </c>
      <c r="P74" s="424" t="str">
        <f>IF($B74="","",'Qredits maandlasten'!$C$8/12*(POWER(1+'Qredits maandlasten'!$C$8/12,$B74-1+1)))</f>
        <v/>
      </c>
      <c r="Q74" s="424" t="str">
        <f t="shared" si="3"/>
        <v/>
      </c>
      <c r="R74" s="422"/>
      <c r="S74" s="423" t="str">
        <f t="shared" ref="S74:S137" si="6">IF(B74="","",IF(S73-T73&lt;0,"",S73-T73))</f>
        <v/>
      </c>
      <c r="T74" s="423" t="str">
        <f>IF(S74="","",J74/(POWER(1+'Qredits maandlasten'!$C$8/12,$B74-1+1)))</f>
        <v/>
      </c>
      <c r="U74" s="425" t="str">
        <f t="shared" si="4"/>
        <v/>
      </c>
      <c r="V74" s="423" t="str">
        <f>IF($B74="","",K74/(POWER(1+'Qredits maandlasten'!$C$8/12,$B74-1+1)))</f>
        <v/>
      </c>
      <c r="W74" s="422"/>
    </row>
    <row r="75" spans="1:25" s="427" customFormat="1" x14ac:dyDescent="0.2">
      <c r="A75" s="418"/>
      <c r="B75" s="419" t="str">
        <f>IF($B74="","",IF($B74+1&gt;'Qredits maandlasten'!$C$7,"",Schema!B74+1))</f>
        <v/>
      </c>
      <c r="C75" s="420" t="str">
        <f>IF($B74="","",IF($B74+1&gt;'Qredits maandlasten'!$C$7,"",EOMONTH(C74,0)+1))</f>
        <v/>
      </c>
      <c r="D75" s="418"/>
      <c r="E75" s="420" t="str">
        <f>IF($B74="","",IF($B74+1&gt;'Qredits maandlasten'!$C$7,"",F74+1))</f>
        <v/>
      </c>
      <c r="F75" s="420" t="str">
        <f>IF($B74="","",IF($B74+1&gt;'Qredits maandlasten'!$C$7,"",EOMONTH(C75,-1)))</f>
        <v/>
      </c>
      <c r="G75" s="421" t="str">
        <f>IF($B74="","",IF($B74+1&gt;'Qredits maandlasten'!$C$7,"",(_xlfn.DAYS(F75,E75)+1)/DAY(F75)))</f>
        <v/>
      </c>
      <c r="H75" s="422"/>
      <c r="I75" s="423" t="str">
        <f>IF($B74="","",IF($B74+1&gt;'Qredits maandlasten'!$C$7,"",I74-J74))</f>
        <v/>
      </c>
      <c r="J75" s="423" t="str">
        <f>IF($B74="","",IF($B74+1&gt;'Qredits maandlasten'!$C$7,"",IF(B74&lt;'Investering &amp; Financiering'!$E$52-1,0,IF('Qredits maandlasten'!$C$10="Lineair",'Qredits maandlasten'!$H$4,IF('Qredits maandlasten'!$C$10="Annuïteit",IFERROR('Qredits maandlasten'!$H$4-K75,0),0)))))</f>
        <v/>
      </c>
      <c r="K75" s="423" t="str">
        <f>IF($B74="","",IF($B74+1&gt;'Qredits maandlasten'!$C$7,"",G75*I75*'Qredits maandlasten'!$C$8/12))</f>
        <v/>
      </c>
      <c r="L75" s="423" t="str">
        <f t="shared" ref="L75:L138" si="7">IF(S75="","",-K75-J75)</f>
        <v/>
      </c>
      <c r="M75" s="423" t="str">
        <f t="shared" si="5"/>
        <v/>
      </c>
      <c r="N75" s="422"/>
      <c r="O75" s="424" t="str">
        <f>IF($B75="","",'Qredits maandlasten'!$C$8/12)</f>
        <v/>
      </c>
      <c r="P75" s="424" t="str">
        <f>IF($B75="","",'Qredits maandlasten'!$C$8/12*(POWER(1+'Qredits maandlasten'!$C$8/12,$B75-1+1)))</f>
        <v/>
      </c>
      <c r="Q75" s="424" t="str">
        <f t="shared" ref="Q75:Q138" si="8">IF($B75="","",IFERROR(J75/T75-1,0))</f>
        <v/>
      </c>
      <c r="R75" s="422"/>
      <c r="S75" s="423" t="str">
        <f t="shared" si="6"/>
        <v/>
      </c>
      <c r="T75" s="423" t="str">
        <f>IF(S75="","",J75/(POWER(1+'Qredits maandlasten'!$C$8/12,$B75-1+1)))</f>
        <v/>
      </c>
      <c r="U75" s="425" t="str">
        <f t="shared" ref="U75:U138" si="9">IF(S75="","",T75+V75)</f>
        <v/>
      </c>
      <c r="V75" s="423" t="str">
        <f>IF($B75="","",K75/(POWER(1+'Qredits maandlasten'!$C$8/12,$B75-1+1)))</f>
        <v/>
      </c>
      <c r="W75" s="422"/>
    </row>
    <row r="76" spans="1:25" s="427" customFormat="1" x14ac:dyDescent="0.2">
      <c r="A76" s="418"/>
      <c r="B76" s="419" t="str">
        <f>IF($B75="","",IF($B75+1&gt;'Qredits maandlasten'!$C$7,"",Schema!B75+1))</f>
        <v/>
      </c>
      <c r="C76" s="420" t="str">
        <f>IF($B75="","",IF($B75+1&gt;'Qredits maandlasten'!$C$7,"",EOMONTH(C75,0)+1))</f>
        <v/>
      </c>
      <c r="D76" s="418"/>
      <c r="E76" s="420" t="str">
        <f>IF($B75="","",IF($B75+1&gt;'Qredits maandlasten'!$C$7,"",F75+1))</f>
        <v/>
      </c>
      <c r="F76" s="420" t="str">
        <f>IF($B75="","",IF($B75+1&gt;'Qredits maandlasten'!$C$7,"",EOMONTH(C76,-1)))</f>
        <v/>
      </c>
      <c r="G76" s="421" t="str">
        <f>IF($B75="","",IF($B75+1&gt;'Qredits maandlasten'!$C$7,"",(_xlfn.DAYS(F76,E76)+1)/DAY(F76)))</f>
        <v/>
      </c>
      <c r="H76" s="422"/>
      <c r="I76" s="423" t="str">
        <f>IF($B75="","",IF($B75+1&gt;'Qredits maandlasten'!$C$7,"",I75-J75))</f>
        <v/>
      </c>
      <c r="J76" s="423" t="str">
        <f>IF($B75="","",IF($B75+1&gt;'Qredits maandlasten'!$C$7,"",IF(B75&lt;'Investering &amp; Financiering'!$E$52-1,0,IF('Qredits maandlasten'!$C$10="Lineair",'Qredits maandlasten'!$H$4,IF('Qredits maandlasten'!$C$10="Annuïteit",IFERROR('Qredits maandlasten'!$H$4-K76,0),0)))))</f>
        <v/>
      </c>
      <c r="K76" s="423" t="str">
        <f>IF($B75="","",IF($B75+1&gt;'Qredits maandlasten'!$C$7,"",G76*I76*'Qredits maandlasten'!$C$8/12))</f>
        <v/>
      </c>
      <c r="L76" s="423" t="str">
        <f t="shared" si="7"/>
        <v/>
      </c>
      <c r="M76" s="423" t="str">
        <f t="shared" si="5"/>
        <v/>
      </c>
      <c r="N76" s="422"/>
      <c r="O76" s="424" t="str">
        <f>IF($B76="","",'Qredits maandlasten'!$C$8/12)</f>
        <v/>
      </c>
      <c r="P76" s="424" t="str">
        <f>IF($B76="","",'Qredits maandlasten'!$C$8/12*(POWER(1+'Qredits maandlasten'!$C$8/12,$B76-1+1)))</f>
        <v/>
      </c>
      <c r="Q76" s="424" t="str">
        <f t="shared" si="8"/>
        <v/>
      </c>
      <c r="R76" s="422"/>
      <c r="S76" s="423" t="str">
        <f t="shared" si="6"/>
        <v/>
      </c>
      <c r="T76" s="423" t="str">
        <f>IF(S76="","",J76/(POWER(1+'Qredits maandlasten'!$C$8/12,$B76-1+1)))</f>
        <v/>
      </c>
      <c r="U76" s="425" t="str">
        <f t="shared" si="9"/>
        <v/>
      </c>
      <c r="V76" s="423" t="str">
        <f>IF($B76="","",K76/(POWER(1+'Qredits maandlasten'!$C$8/12,$B76-1+1)))</f>
        <v/>
      </c>
      <c r="W76" s="422"/>
    </row>
    <row r="77" spans="1:25" s="427" customFormat="1" x14ac:dyDescent="0.2">
      <c r="A77" s="418"/>
      <c r="B77" s="419" t="str">
        <f>IF($B76="","",IF($B76+1&gt;'Qredits maandlasten'!$C$7,"",Schema!B76+1))</f>
        <v/>
      </c>
      <c r="C77" s="420" t="str">
        <f>IF($B76="","",IF($B76+1&gt;'Qredits maandlasten'!$C$7,"",EOMONTH(C76,0)+1))</f>
        <v/>
      </c>
      <c r="D77" s="418"/>
      <c r="E77" s="420" t="str">
        <f>IF($B76="","",IF($B76+1&gt;'Qredits maandlasten'!$C$7,"",F76+1))</f>
        <v/>
      </c>
      <c r="F77" s="420" t="str">
        <f>IF($B76="","",IF($B76+1&gt;'Qredits maandlasten'!$C$7,"",EOMONTH(C77,-1)))</f>
        <v/>
      </c>
      <c r="G77" s="421" t="str">
        <f>IF($B76="","",IF($B76+1&gt;'Qredits maandlasten'!$C$7,"",(_xlfn.DAYS(F77,E77)+1)/DAY(F77)))</f>
        <v/>
      </c>
      <c r="H77" s="422"/>
      <c r="I77" s="423" t="str">
        <f>IF($B76="","",IF($B76+1&gt;'Qredits maandlasten'!$C$7,"",I76-J76))</f>
        <v/>
      </c>
      <c r="J77" s="423" t="str">
        <f>IF($B76="","",IF($B76+1&gt;'Qredits maandlasten'!$C$7,"",IF(B76&lt;'Investering &amp; Financiering'!$E$52-1,0,IF('Qredits maandlasten'!$C$10="Lineair",'Qredits maandlasten'!$H$4,IF('Qredits maandlasten'!$C$10="Annuïteit",IFERROR('Qredits maandlasten'!$H$4-K77,0),0)))))</f>
        <v/>
      </c>
      <c r="K77" s="423" t="str">
        <f>IF($B76="","",IF($B76+1&gt;'Qredits maandlasten'!$C$7,"",G77*I77*'Qredits maandlasten'!$C$8/12))</f>
        <v/>
      </c>
      <c r="L77" s="423" t="str">
        <f t="shared" si="7"/>
        <v/>
      </c>
      <c r="M77" s="423" t="str">
        <f t="shared" si="5"/>
        <v/>
      </c>
      <c r="N77" s="422"/>
      <c r="O77" s="424" t="str">
        <f>IF($B77="","",'Qredits maandlasten'!$C$8/12)</f>
        <v/>
      </c>
      <c r="P77" s="424" t="str">
        <f>IF($B77="","",'Qredits maandlasten'!$C$8/12*(POWER(1+'Qredits maandlasten'!$C$8/12,$B77-1+1)))</f>
        <v/>
      </c>
      <c r="Q77" s="424" t="str">
        <f t="shared" si="8"/>
        <v/>
      </c>
      <c r="R77" s="422"/>
      <c r="S77" s="423" t="str">
        <f t="shared" si="6"/>
        <v/>
      </c>
      <c r="T77" s="423" t="str">
        <f>IF(S77="","",J77/(POWER(1+'Qredits maandlasten'!$C$8/12,$B77-1+1)))</f>
        <v/>
      </c>
      <c r="U77" s="425" t="str">
        <f t="shared" si="9"/>
        <v/>
      </c>
      <c r="V77" s="423" t="str">
        <f>IF($B77="","",K77/(POWER(1+'Qredits maandlasten'!$C$8/12,$B77-1+1)))</f>
        <v/>
      </c>
      <c r="W77" s="422"/>
    </row>
    <row r="78" spans="1:25" s="427" customFormat="1" x14ac:dyDescent="0.2">
      <c r="A78" s="418"/>
      <c r="B78" s="419" t="str">
        <f>IF($B77="","",IF($B77+1&gt;'Qredits maandlasten'!$C$7,"",Schema!B77+1))</f>
        <v/>
      </c>
      <c r="C78" s="420" t="str">
        <f>IF($B77="","",IF($B77+1&gt;'Qredits maandlasten'!$C$7,"",EOMONTH(C77,0)+1))</f>
        <v/>
      </c>
      <c r="D78" s="418"/>
      <c r="E78" s="420" t="str">
        <f>IF($B77="","",IF($B77+1&gt;'Qredits maandlasten'!$C$7,"",F77+1))</f>
        <v/>
      </c>
      <c r="F78" s="420" t="str">
        <f>IF($B77="","",IF($B77+1&gt;'Qredits maandlasten'!$C$7,"",EOMONTH(C78,-1)))</f>
        <v/>
      </c>
      <c r="G78" s="421" t="str">
        <f>IF($B77="","",IF($B77+1&gt;'Qredits maandlasten'!$C$7,"",(_xlfn.DAYS(F78,E78)+1)/DAY(F78)))</f>
        <v/>
      </c>
      <c r="H78" s="422"/>
      <c r="I78" s="423" t="str">
        <f>IF($B77="","",IF($B77+1&gt;'Qredits maandlasten'!$C$7,"",I77-J77))</f>
        <v/>
      </c>
      <c r="J78" s="423" t="str">
        <f>IF($B77="","",IF($B77+1&gt;'Qredits maandlasten'!$C$7,"",IF(B77&lt;'Investering &amp; Financiering'!$E$52-1,0,IF('Qredits maandlasten'!$C$10="Lineair",'Qredits maandlasten'!$H$4,IF('Qredits maandlasten'!$C$10="Annuïteit",IFERROR('Qredits maandlasten'!$H$4-K78,0),0)))))</f>
        <v/>
      </c>
      <c r="K78" s="423" t="str">
        <f>IF($B77="","",IF($B77+1&gt;'Qredits maandlasten'!$C$7,"",G78*I78*'Qredits maandlasten'!$C$8/12))</f>
        <v/>
      </c>
      <c r="L78" s="423" t="str">
        <f t="shared" si="7"/>
        <v/>
      </c>
      <c r="M78" s="423" t="str">
        <f t="shared" si="5"/>
        <v/>
      </c>
      <c r="N78" s="422"/>
      <c r="O78" s="424" t="str">
        <f>IF($B78="","",'Qredits maandlasten'!$C$8/12)</f>
        <v/>
      </c>
      <c r="P78" s="424" t="str">
        <f>IF($B78="","",'Qredits maandlasten'!$C$8/12*(POWER(1+'Qredits maandlasten'!$C$8/12,$B78-1+1)))</f>
        <v/>
      </c>
      <c r="Q78" s="424" t="str">
        <f t="shared" si="8"/>
        <v/>
      </c>
      <c r="R78" s="422"/>
      <c r="S78" s="423" t="str">
        <f t="shared" si="6"/>
        <v/>
      </c>
      <c r="T78" s="423" t="str">
        <f>IF(S78="","",J78/(POWER(1+'Qredits maandlasten'!$C$8/12,$B78-1+1)))</f>
        <v/>
      </c>
      <c r="U78" s="425" t="str">
        <f t="shared" si="9"/>
        <v/>
      </c>
      <c r="V78" s="423" t="str">
        <f>IF($B78="","",K78/(POWER(1+'Qredits maandlasten'!$C$8/12,$B78-1+1)))</f>
        <v/>
      </c>
      <c r="W78" s="422"/>
    </row>
    <row r="79" spans="1:25" s="427" customFormat="1" x14ac:dyDescent="0.2">
      <c r="A79" s="418"/>
      <c r="B79" s="419" t="str">
        <f>IF($B78="","",IF($B78+1&gt;'Qredits maandlasten'!$C$7,"",Schema!B78+1))</f>
        <v/>
      </c>
      <c r="C79" s="420" t="str">
        <f>IF($B78="","",IF($B78+1&gt;'Qredits maandlasten'!$C$7,"",EOMONTH(C78,0)+1))</f>
        <v/>
      </c>
      <c r="D79" s="418"/>
      <c r="E79" s="420" t="str">
        <f>IF($B78="","",IF($B78+1&gt;'Qredits maandlasten'!$C$7,"",F78+1))</f>
        <v/>
      </c>
      <c r="F79" s="420" t="str">
        <f>IF($B78="","",IF($B78+1&gt;'Qredits maandlasten'!$C$7,"",EOMONTH(C79,-1)))</f>
        <v/>
      </c>
      <c r="G79" s="421" t="str">
        <f>IF($B78="","",IF($B78+1&gt;'Qredits maandlasten'!$C$7,"",(_xlfn.DAYS(F79,E79)+1)/DAY(F79)))</f>
        <v/>
      </c>
      <c r="H79" s="422"/>
      <c r="I79" s="423" t="str">
        <f>IF($B78="","",IF($B78+1&gt;'Qredits maandlasten'!$C$7,"",I78-J78))</f>
        <v/>
      </c>
      <c r="J79" s="423" t="str">
        <f>IF($B78="","",IF($B78+1&gt;'Qredits maandlasten'!$C$7,"",IF(B78&lt;'Investering &amp; Financiering'!$E$52-1,0,IF('Qredits maandlasten'!$C$10="Lineair",'Qredits maandlasten'!$H$4,IF('Qredits maandlasten'!$C$10="Annuïteit",IFERROR('Qredits maandlasten'!$H$4-K79,0),0)))))</f>
        <v/>
      </c>
      <c r="K79" s="423" t="str">
        <f>IF($B78="","",IF($B78+1&gt;'Qredits maandlasten'!$C$7,"",G79*I79*'Qredits maandlasten'!$C$8/12))</f>
        <v/>
      </c>
      <c r="L79" s="423" t="str">
        <f t="shared" si="7"/>
        <v/>
      </c>
      <c r="M79" s="423" t="str">
        <f t="shared" si="5"/>
        <v/>
      </c>
      <c r="N79" s="422"/>
      <c r="O79" s="424" t="str">
        <f>IF($B79="","",'Qredits maandlasten'!$C$8/12)</f>
        <v/>
      </c>
      <c r="P79" s="424" t="str">
        <f>IF($B79="","",'Qredits maandlasten'!$C$8/12*(POWER(1+'Qredits maandlasten'!$C$8/12,$B79-1+1)))</f>
        <v/>
      </c>
      <c r="Q79" s="424" t="str">
        <f t="shared" si="8"/>
        <v/>
      </c>
      <c r="R79" s="422"/>
      <c r="S79" s="423" t="str">
        <f t="shared" si="6"/>
        <v/>
      </c>
      <c r="T79" s="423" t="str">
        <f>IF(S79="","",J79/(POWER(1+'Qredits maandlasten'!$C$8/12,$B79-1+1)))</f>
        <v/>
      </c>
      <c r="U79" s="425" t="str">
        <f t="shared" si="9"/>
        <v/>
      </c>
      <c r="V79" s="423" t="str">
        <f>IF($B79="","",K79/(POWER(1+'Qredits maandlasten'!$C$8/12,$B79-1+1)))</f>
        <v/>
      </c>
      <c r="W79" s="422"/>
    </row>
    <row r="80" spans="1:25" s="427" customFormat="1" x14ac:dyDescent="0.2">
      <c r="A80" s="418"/>
      <c r="B80" s="419" t="str">
        <f>IF($B79="","",IF($B79+1&gt;'Qredits maandlasten'!$C$7,"",Schema!B79+1))</f>
        <v/>
      </c>
      <c r="C80" s="420" t="str">
        <f>IF($B79="","",IF($B79+1&gt;'Qredits maandlasten'!$C$7,"",EOMONTH(C79,0)+1))</f>
        <v/>
      </c>
      <c r="D80" s="418"/>
      <c r="E80" s="420" t="str">
        <f>IF($B79="","",IF($B79+1&gt;'Qredits maandlasten'!$C$7,"",F79+1))</f>
        <v/>
      </c>
      <c r="F80" s="420" t="str">
        <f>IF($B79="","",IF($B79+1&gt;'Qredits maandlasten'!$C$7,"",EOMONTH(C80,-1)))</f>
        <v/>
      </c>
      <c r="G80" s="421" t="str">
        <f>IF($B79="","",IF($B79+1&gt;'Qredits maandlasten'!$C$7,"",(_xlfn.DAYS(F80,E80)+1)/DAY(F80)))</f>
        <v/>
      </c>
      <c r="H80" s="422"/>
      <c r="I80" s="423" t="str">
        <f>IF($B79="","",IF($B79+1&gt;'Qredits maandlasten'!$C$7,"",I79-J79))</f>
        <v/>
      </c>
      <c r="J80" s="423" t="str">
        <f>IF($B79="","",IF($B79+1&gt;'Qredits maandlasten'!$C$7,"",IF(B79&lt;'Investering &amp; Financiering'!$E$52-1,0,IF('Qredits maandlasten'!$C$10="Lineair",'Qredits maandlasten'!$H$4,IF('Qredits maandlasten'!$C$10="Annuïteit",IFERROR('Qredits maandlasten'!$H$4-K80,0),0)))))</f>
        <v/>
      </c>
      <c r="K80" s="423" t="str">
        <f>IF($B79="","",IF($B79+1&gt;'Qredits maandlasten'!$C$7,"",G80*I80*'Qredits maandlasten'!$C$8/12))</f>
        <v/>
      </c>
      <c r="L80" s="423" t="str">
        <f t="shared" si="7"/>
        <v/>
      </c>
      <c r="M80" s="423" t="str">
        <f t="shared" si="5"/>
        <v/>
      </c>
      <c r="N80" s="422"/>
      <c r="O80" s="424" t="str">
        <f>IF($B80="","",'Qredits maandlasten'!$C$8/12)</f>
        <v/>
      </c>
      <c r="P80" s="424" t="str">
        <f>IF($B80="","",'Qredits maandlasten'!$C$8/12*(POWER(1+'Qredits maandlasten'!$C$8/12,$B80-1+1)))</f>
        <v/>
      </c>
      <c r="Q80" s="424" t="str">
        <f t="shared" si="8"/>
        <v/>
      </c>
      <c r="R80" s="422"/>
      <c r="S80" s="423" t="str">
        <f t="shared" si="6"/>
        <v/>
      </c>
      <c r="T80" s="423" t="str">
        <f>IF(S80="","",J80/(POWER(1+'Qredits maandlasten'!$C$8/12,$B80-1+1)))</f>
        <v/>
      </c>
      <c r="U80" s="425" t="str">
        <f t="shared" si="9"/>
        <v/>
      </c>
      <c r="V80" s="423" t="str">
        <f>IF($B80="","",K80/(POWER(1+'Qredits maandlasten'!$C$8/12,$B80-1+1)))</f>
        <v/>
      </c>
      <c r="W80" s="422"/>
    </row>
    <row r="81" spans="1:23" s="427" customFormat="1" x14ac:dyDescent="0.2">
      <c r="A81" s="418"/>
      <c r="B81" s="419" t="str">
        <f>IF($B80="","",IF($B80+1&gt;'Qredits maandlasten'!$C$7,"",Schema!B80+1))</f>
        <v/>
      </c>
      <c r="C81" s="420" t="str">
        <f>IF($B80="","",IF($B80+1&gt;'Qredits maandlasten'!$C$7,"",EOMONTH(C80,0)+1))</f>
        <v/>
      </c>
      <c r="D81" s="418"/>
      <c r="E81" s="420" t="str">
        <f>IF($B80="","",IF($B80+1&gt;'Qredits maandlasten'!$C$7,"",F80+1))</f>
        <v/>
      </c>
      <c r="F81" s="420" t="str">
        <f>IF($B80="","",IF($B80+1&gt;'Qredits maandlasten'!$C$7,"",EOMONTH(C81,-1)))</f>
        <v/>
      </c>
      <c r="G81" s="421" t="str">
        <f>IF($B80="","",IF($B80+1&gt;'Qredits maandlasten'!$C$7,"",(_xlfn.DAYS(F81,E81)+1)/DAY(F81)))</f>
        <v/>
      </c>
      <c r="H81" s="422"/>
      <c r="I81" s="423" t="str">
        <f>IF($B80="","",IF($B80+1&gt;'Qredits maandlasten'!$C$7,"",I80-J80))</f>
        <v/>
      </c>
      <c r="J81" s="423" t="str">
        <f>IF($B80="","",IF($B80+1&gt;'Qredits maandlasten'!$C$7,"",IF(B80&lt;'Investering &amp; Financiering'!$E$52-1,0,IF('Qredits maandlasten'!$C$10="Lineair",'Qredits maandlasten'!$H$4,IF('Qredits maandlasten'!$C$10="Annuïteit",IFERROR('Qredits maandlasten'!$H$4-K81,0),0)))))</f>
        <v/>
      </c>
      <c r="K81" s="423" t="str">
        <f>IF($B80="","",IF($B80+1&gt;'Qredits maandlasten'!$C$7,"",G81*I81*'Qredits maandlasten'!$C$8/12))</f>
        <v/>
      </c>
      <c r="L81" s="423" t="str">
        <f t="shared" si="7"/>
        <v/>
      </c>
      <c r="M81" s="423" t="str">
        <f t="shared" si="5"/>
        <v/>
      </c>
      <c r="N81" s="422"/>
      <c r="O81" s="424" t="str">
        <f>IF($B81="","",'Qredits maandlasten'!$C$8/12)</f>
        <v/>
      </c>
      <c r="P81" s="424" t="str">
        <f>IF($B81="","",'Qredits maandlasten'!$C$8/12*(POWER(1+'Qredits maandlasten'!$C$8/12,$B81-1+1)))</f>
        <v/>
      </c>
      <c r="Q81" s="424" t="str">
        <f t="shared" si="8"/>
        <v/>
      </c>
      <c r="R81" s="422"/>
      <c r="S81" s="423" t="str">
        <f t="shared" si="6"/>
        <v/>
      </c>
      <c r="T81" s="423" t="str">
        <f>IF(S81="","",J81/(POWER(1+'Qredits maandlasten'!$C$8/12,$B81-1+1)))</f>
        <v/>
      </c>
      <c r="U81" s="425" t="str">
        <f t="shared" si="9"/>
        <v/>
      </c>
      <c r="V81" s="423" t="str">
        <f>IF($B81="","",K81/(POWER(1+'Qredits maandlasten'!$C$8/12,$B81-1+1)))</f>
        <v/>
      </c>
      <c r="W81" s="422"/>
    </row>
    <row r="82" spans="1:23" s="427" customFormat="1" x14ac:dyDescent="0.2">
      <c r="A82" s="418"/>
      <c r="B82" s="419" t="str">
        <f>IF($B81="","",IF($B81+1&gt;'Qredits maandlasten'!$C$7,"",Schema!B81+1))</f>
        <v/>
      </c>
      <c r="C82" s="420" t="str">
        <f>IF($B81="","",IF($B81+1&gt;'Qredits maandlasten'!$C$7,"",EOMONTH(C81,0)+1))</f>
        <v/>
      </c>
      <c r="D82" s="418"/>
      <c r="E82" s="420" t="str">
        <f>IF($B81="","",IF($B81+1&gt;'Qredits maandlasten'!$C$7,"",F81+1))</f>
        <v/>
      </c>
      <c r="F82" s="420" t="str">
        <f>IF($B81="","",IF($B81+1&gt;'Qredits maandlasten'!$C$7,"",EOMONTH(C82,-1)))</f>
        <v/>
      </c>
      <c r="G82" s="421" t="str">
        <f>IF($B81="","",IF($B81+1&gt;'Qredits maandlasten'!$C$7,"",(_xlfn.DAYS(F82,E82)+1)/DAY(F82)))</f>
        <v/>
      </c>
      <c r="H82" s="422"/>
      <c r="I82" s="423" t="str">
        <f>IF($B81="","",IF($B81+1&gt;'Qredits maandlasten'!$C$7,"",I81-J81))</f>
        <v/>
      </c>
      <c r="J82" s="423" t="str">
        <f>IF($B81="","",IF($B81+1&gt;'Qredits maandlasten'!$C$7,"",IF(B81&lt;'Investering &amp; Financiering'!$E$52-1,0,IF('Qredits maandlasten'!$C$10="Lineair",'Qredits maandlasten'!$H$4,IF('Qredits maandlasten'!$C$10="Annuïteit",IFERROR('Qredits maandlasten'!$H$4-K82,0),0)))))</f>
        <v/>
      </c>
      <c r="K82" s="423" t="str">
        <f>IF($B81="","",IF($B81+1&gt;'Qredits maandlasten'!$C$7,"",G82*I82*'Qredits maandlasten'!$C$8/12))</f>
        <v/>
      </c>
      <c r="L82" s="423" t="str">
        <f t="shared" si="7"/>
        <v/>
      </c>
      <c r="M82" s="423" t="str">
        <f t="shared" si="5"/>
        <v/>
      </c>
      <c r="N82" s="422"/>
      <c r="O82" s="424" t="str">
        <f>IF($B82="","",'Qredits maandlasten'!$C$8/12)</f>
        <v/>
      </c>
      <c r="P82" s="424" t="str">
        <f>IF($B82="","",'Qredits maandlasten'!$C$8/12*(POWER(1+'Qredits maandlasten'!$C$8/12,$B82-1+1)))</f>
        <v/>
      </c>
      <c r="Q82" s="424" t="str">
        <f t="shared" si="8"/>
        <v/>
      </c>
      <c r="R82" s="422"/>
      <c r="S82" s="423" t="str">
        <f t="shared" si="6"/>
        <v/>
      </c>
      <c r="T82" s="423" t="str">
        <f>IF(S82="","",J82/(POWER(1+'Qredits maandlasten'!$C$8/12,$B82-1+1)))</f>
        <v/>
      </c>
      <c r="U82" s="425" t="str">
        <f t="shared" si="9"/>
        <v/>
      </c>
      <c r="V82" s="423" t="str">
        <f>IF($B82="","",K82/(POWER(1+'Qredits maandlasten'!$C$8/12,$B82-1+1)))</f>
        <v/>
      </c>
      <c r="W82" s="422"/>
    </row>
    <row r="83" spans="1:23" s="427" customFormat="1" x14ac:dyDescent="0.2">
      <c r="A83" s="418"/>
      <c r="B83" s="419" t="str">
        <f>IF($B82="","",IF($B82+1&gt;'Qredits maandlasten'!$C$7,"",Schema!B82+1))</f>
        <v/>
      </c>
      <c r="C83" s="420" t="str">
        <f>IF($B82="","",IF($B82+1&gt;'Qredits maandlasten'!$C$7,"",EOMONTH(C82,0)+1))</f>
        <v/>
      </c>
      <c r="D83" s="418"/>
      <c r="E83" s="420" t="str">
        <f>IF($B82="","",IF($B82+1&gt;'Qredits maandlasten'!$C$7,"",F82+1))</f>
        <v/>
      </c>
      <c r="F83" s="420" t="str">
        <f>IF($B82="","",IF($B82+1&gt;'Qredits maandlasten'!$C$7,"",EOMONTH(C83,-1)))</f>
        <v/>
      </c>
      <c r="G83" s="421" t="str">
        <f>IF($B82="","",IF($B82+1&gt;'Qredits maandlasten'!$C$7,"",(_xlfn.DAYS(F83,E83)+1)/DAY(F83)))</f>
        <v/>
      </c>
      <c r="H83" s="422"/>
      <c r="I83" s="423" t="str">
        <f>IF($B82="","",IF($B82+1&gt;'Qredits maandlasten'!$C$7,"",I82-J82))</f>
        <v/>
      </c>
      <c r="J83" s="423" t="str">
        <f>IF($B82="","",IF($B82+1&gt;'Qredits maandlasten'!$C$7,"",IF(B82&lt;'Investering &amp; Financiering'!$E$52-1,0,IF('Qredits maandlasten'!$C$10="Lineair",'Qredits maandlasten'!$H$4,IF('Qredits maandlasten'!$C$10="Annuïteit",IFERROR('Qredits maandlasten'!$H$4-K83,0),0)))))</f>
        <v/>
      </c>
      <c r="K83" s="423" t="str">
        <f>IF($B82="","",IF($B82+1&gt;'Qredits maandlasten'!$C$7,"",G83*I83*'Qredits maandlasten'!$C$8/12))</f>
        <v/>
      </c>
      <c r="L83" s="423" t="str">
        <f t="shared" si="7"/>
        <v/>
      </c>
      <c r="M83" s="423" t="str">
        <f t="shared" si="5"/>
        <v/>
      </c>
      <c r="N83" s="422"/>
      <c r="O83" s="424" t="str">
        <f>IF($B83="","",'Qredits maandlasten'!$C$8/12)</f>
        <v/>
      </c>
      <c r="P83" s="424" t="str">
        <f>IF($B83="","",'Qredits maandlasten'!$C$8/12*(POWER(1+'Qredits maandlasten'!$C$8/12,$B83-1+1)))</f>
        <v/>
      </c>
      <c r="Q83" s="424" t="str">
        <f t="shared" si="8"/>
        <v/>
      </c>
      <c r="R83" s="422"/>
      <c r="S83" s="423" t="str">
        <f t="shared" si="6"/>
        <v/>
      </c>
      <c r="T83" s="423" t="str">
        <f>IF(S83="","",J83/(POWER(1+'Qredits maandlasten'!$C$8/12,$B83-1+1)))</f>
        <v/>
      </c>
      <c r="U83" s="425" t="str">
        <f t="shared" si="9"/>
        <v/>
      </c>
      <c r="V83" s="423" t="str">
        <f>IF($B83="","",K83/(POWER(1+'Qredits maandlasten'!$C$8/12,$B83-1+1)))</f>
        <v/>
      </c>
      <c r="W83" s="422"/>
    </row>
    <row r="84" spans="1:23" s="427" customFormat="1" x14ac:dyDescent="0.2">
      <c r="A84" s="418"/>
      <c r="B84" s="419" t="str">
        <f>IF($B83="","",IF($B83+1&gt;'Qredits maandlasten'!$C$7,"",Schema!B83+1))</f>
        <v/>
      </c>
      <c r="C84" s="420" t="str">
        <f>IF($B83="","",IF($B83+1&gt;'Qredits maandlasten'!$C$7,"",EOMONTH(C83,0)+1))</f>
        <v/>
      </c>
      <c r="D84" s="418"/>
      <c r="E84" s="420" t="str">
        <f>IF($B83="","",IF($B83+1&gt;'Qredits maandlasten'!$C$7,"",F83+1))</f>
        <v/>
      </c>
      <c r="F84" s="420" t="str">
        <f>IF($B83="","",IF($B83+1&gt;'Qredits maandlasten'!$C$7,"",EOMONTH(C84,-1)))</f>
        <v/>
      </c>
      <c r="G84" s="421" t="str">
        <f>IF($B83="","",IF($B83+1&gt;'Qredits maandlasten'!$C$7,"",(_xlfn.DAYS(F84,E84)+1)/DAY(F84)))</f>
        <v/>
      </c>
      <c r="H84" s="422"/>
      <c r="I84" s="423" t="str">
        <f>IF($B83="","",IF($B83+1&gt;'Qredits maandlasten'!$C$7,"",I83-J83))</f>
        <v/>
      </c>
      <c r="J84" s="423" t="str">
        <f>IF($B83="","",IF($B83+1&gt;'Qredits maandlasten'!$C$7,"",IF(B83&lt;'Investering &amp; Financiering'!$E$52-1,0,IF('Qredits maandlasten'!$C$10="Lineair",'Qredits maandlasten'!$H$4,IF('Qredits maandlasten'!$C$10="Annuïteit",IFERROR('Qredits maandlasten'!$H$4-K84,0),0)))))</f>
        <v/>
      </c>
      <c r="K84" s="423" t="str">
        <f>IF($B83="","",IF($B83+1&gt;'Qredits maandlasten'!$C$7,"",G84*I84*'Qredits maandlasten'!$C$8/12))</f>
        <v/>
      </c>
      <c r="L84" s="423" t="str">
        <f t="shared" si="7"/>
        <v/>
      </c>
      <c r="M84" s="423" t="str">
        <f t="shared" si="5"/>
        <v/>
      </c>
      <c r="N84" s="422"/>
      <c r="O84" s="424" t="str">
        <f>IF($B84="","",'Qredits maandlasten'!$C$8/12)</f>
        <v/>
      </c>
      <c r="P84" s="424" t="str">
        <f>IF($B84="","",'Qredits maandlasten'!$C$8/12*(POWER(1+'Qredits maandlasten'!$C$8/12,$B84-1+1)))</f>
        <v/>
      </c>
      <c r="Q84" s="424" t="str">
        <f t="shared" si="8"/>
        <v/>
      </c>
      <c r="R84" s="422"/>
      <c r="S84" s="423" t="str">
        <f t="shared" si="6"/>
        <v/>
      </c>
      <c r="T84" s="423" t="str">
        <f>IF(S84="","",J84/(POWER(1+'Qredits maandlasten'!$C$8/12,$B84-1+1)))</f>
        <v/>
      </c>
      <c r="U84" s="425" t="str">
        <f t="shared" si="9"/>
        <v/>
      </c>
      <c r="V84" s="423" t="str">
        <f>IF($B84="","",K84/(POWER(1+'Qredits maandlasten'!$C$8/12,$B84-1+1)))</f>
        <v/>
      </c>
      <c r="W84" s="422"/>
    </row>
    <row r="85" spans="1:23" s="427" customFormat="1" x14ac:dyDescent="0.2">
      <c r="A85" s="418"/>
      <c r="B85" s="419" t="str">
        <f>IF($B84="","",IF($B84+1&gt;'Qredits maandlasten'!$C$7,"",Schema!B84+1))</f>
        <v/>
      </c>
      <c r="C85" s="420" t="str">
        <f>IF($B84="","",IF($B84+1&gt;'Qredits maandlasten'!$C$7,"",EOMONTH(C84,0)+1))</f>
        <v/>
      </c>
      <c r="D85" s="418"/>
      <c r="E85" s="420" t="str">
        <f>IF($B84="","",IF($B84+1&gt;'Qredits maandlasten'!$C$7,"",F84+1))</f>
        <v/>
      </c>
      <c r="F85" s="420" t="str">
        <f>IF($B84="","",IF($B84+1&gt;'Qredits maandlasten'!$C$7,"",EOMONTH(C85,-1)))</f>
        <v/>
      </c>
      <c r="G85" s="421" t="str">
        <f>IF($B84="","",IF($B84+1&gt;'Qredits maandlasten'!$C$7,"",(_xlfn.DAYS(F85,E85)+1)/DAY(F85)))</f>
        <v/>
      </c>
      <c r="H85" s="422"/>
      <c r="I85" s="423" t="str">
        <f>IF($B84="","",IF($B84+1&gt;'Qredits maandlasten'!$C$7,"",I84-J84))</f>
        <v/>
      </c>
      <c r="J85" s="423" t="str">
        <f>IF($B84="","",IF($B84+1&gt;'Qredits maandlasten'!$C$7,"",IF(B84&lt;'Investering &amp; Financiering'!$E$52-1,0,IF('Qredits maandlasten'!$C$10="Lineair",'Qredits maandlasten'!$H$4,IF('Qredits maandlasten'!$C$10="Annuïteit",IFERROR('Qredits maandlasten'!$H$4-K85,0),0)))))</f>
        <v/>
      </c>
      <c r="K85" s="423" t="str">
        <f>IF($B84="","",IF($B84+1&gt;'Qredits maandlasten'!$C$7,"",G85*I85*'Qredits maandlasten'!$C$8/12))</f>
        <v/>
      </c>
      <c r="L85" s="423" t="str">
        <f t="shared" si="7"/>
        <v/>
      </c>
      <c r="M85" s="423" t="str">
        <f t="shared" si="5"/>
        <v/>
      </c>
      <c r="N85" s="422"/>
      <c r="O85" s="424" t="str">
        <f>IF($B85="","",'Qredits maandlasten'!$C$8/12)</f>
        <v/>
      </c>
      <c r="P85" s="424" t="str">
        <f>IF($B85="","",'Qredits maandlasten'!$C$8/12*(POWER(1+'Qredits maandlasten'!$C$8/12,$B85-1+1)))</f>
        <v/>
      </c>
      <c r="Q85" s="424" t="str">
        <f t="shared" si="8"/>
        <v/>
      </c>
      <c r="R85" s="422"/>
      <c r="S85" s="423" t="str">
        <f t="shared" si="6"/>
        <v/>
      </c>
      <c r="T85" s="423" t="str">
        <f>IF(S85="","",J85/(POWER(1+'Qredits maandlasten'!$C$8/12,$B85-1+1)))</f>
        <v/>
      </c>
      <c r="U85" s="425" t="str">
        <f t="shared" si="9"/>
        <v/>
      </c>
      <c r="V85" s="423" t="str">
        <f>IF($B85="","",K85/(POWER(1+'Qredits maandlasten'!$C$8/12,$B85-1+1)))</f>
        <v/>
      </c>
      <c r="W85" s="422"/>
    </row>
    <row r="86" spans="1:23" s="427" customFormat="1" x14ac:dyDescent="0.2">
      <c r="A86" s="418"/>
      <c r="B86" s="419" t="str">
        <f>IF($B85="","",IF($B85+1&gt;'Qredits maandlasten'!$C$7,"",Schema!B85+1))</f>
        <v/>
      </c>
      <c r="C86" s="420" t="str">
        <f>IF($B85="","",IF($B85+1&gt;'Qredits maandlasten'!$C$7,"",EOMONTH(C85,0)+1))</f>
        <v/>
      </c>
      <c r="D86" s="418"/>
      <c r="E86" s="420" t="str">
        <f>IF($B85="","",IF($B85+1&gt;'Qredits maandlasten'!$C$7,"",F85+1))</f>
        <v/>
      </c>
      <c r="F86" s="420" t="str">
        <f>IF($B85="","",IF($B85+1&gt;'Qredits maandlasten'!$C$7,"",EOMONTH(C86,-1)))</f>
        <v/>
      </c>
      <c r="G86" s="421" t="str">
        <f>IF($B85="","",IF($B85+1&gt;'Qredits maandlasten'!$C$7,"",(_xlfn.DAYS(F86,E86)+1)/DAY(F86)))</f>
        <v/>
      </c>
      <c r="H86" s="422"/>
      <c r="I86" s="423" t="str">
        <f>IF($B85="","",IF($B85+1&gt;'Qredits maandlasten'!$C$7,"",I85-J85))</f>
        <v/>
      </c>
      <c r="J86" s="423" t="str">
        <f>IF($B85="","",IF($B85+1&gt;'Qredits maandlasten'!$C$7,"",IF(B85&lt;'Investering &amp; Financiering'!$E$52-1,0,IF('Qredits maandlasten'!$C$10="Lineair",'Qredits maandlasten'!$H$4,IF('Qredits maandlasten'!$C$10="Annuïteit",IFERROR('Qredits maandlasten'!$H$4-K86,0),0)))))</f>
        <v/>
      </c>
      <c r="K86" s="423" t="str">
        <f>IF($B85="","",IF($B85+1&gt;'Qredits maandlasten'!$C$7,"",G86*I86*'Qredits maandlasten'!$C$8/12))</f>
        <v/>
      </c>
      <c r="L86" s="423" t="str">
        <f t="shared" si="7"/>
        <v/>
      </c>
      <c r="M86" s="423" t="str">
        <f t="shared" si="5"/>
        <v/>
      </c>
      <c r="N86" s="422"/>
      <c r="O86" s="424" t="str">
        <f>IF($B86="","",'Qredits maandlasten'!$C$8/12)</f>
        <v/>
      </c>
      <c r="P86" s="424" t="str">
        <f>IF($B86="","",'Qredits maandlasten'!$C$8/12*(POWER(1+'Qredits maandlasten'!$C$8/12,$B86-1+1)))</f>
        <v/>
      </c>
      <c r="Q86" s="424" t="str">
        <f t="shared" si="8"/>
        <v/>
      </c>
      <c r="R86" s="422"/>
      <c r="S86" s="423" t="str">
        <f t="shared" si="6"/>
        <v/>
      </c>
      <c r="T86" s="423" t="str">
        <f>IF(S86="","",J86/(POWER(1+'Qredits maandlasten'!$C$8/12,$B86-1+1)))</f>
        <v/>
      </c>
      <c r="U86" s="425" t="str">
        <f t="shared" si="9"/>
        <v/>
      </c>
      <c r="V86" s="423" t="str">
        <f>IF($B86="","",K86/(POWER(1+'Qredits maandlasten'!$C$8/12,$B86-1+1)))</f>
        <v/>
      </c>
      <c r="W86" s="422"/>
    </row>
    <row r="87" spans="1:23" s="427" customFormat="1" x14ac:dyDescent="0.2">
      <c r="A87" s="418"/>
      <c r="B87" s="419" t="str">
        <f>IF($B86="","",IF($B86+1&gt;'Qredits maandlasten'!$C$7,"",Schema!B86+1))</f>
        <v/>
      </c>
      <c r="C87" s="420" t="str">
        <f>IF($B86="","",IF($B86+1&gt;'Qredits maandlasten'!$C$7,"",EOMONTH(C86,0)+1))</f>
        <v/>
      </c>
      <c r="D87" s="418"/>
      <c r="E87" s="420" t="str">
        <f>IF($B86="","",IF($B86+1&gt;'Qredits maandlasten'!$C$7,"",F86+1))</f>
        <v/>
      </c>
      <c r="F87" s="420" t="str">
        <f>IF($B86="","",IF($B86+1&gt;'Qredits maandlasten'!$C$7,"",EOMONTH(C87,-1)))</f>
        <v/>
      </c>
      <c r="G87" s="421" t="str">
        <f>IF($B86="","",IF($B86+1&gt;'Qredits maandlasten'!$C$7,"",(_xlfn.DAYS(F87,E87)+1)/DAY(F87)))</f>
        <v/>
      </c>
      <c r="H87" s="422"/>
      <c r="I87" s="423" t="str">
        <f>IF($B86="","",IF($B86+1&gt;'Qredits maandlasten'!$C$7,"",I86-J86))</f>
        <v/>
      </c>
      <c r="J87" s="423" t="str">
        <f>IF($B86="","",IF($B86+1&gt;'Qredits maandlasten'!$C$7,"",IF(B86&lt;'Investering &amp; Financiering'!$E$52-1,0,IF('Qredits maandlasten'!$C$10="Lineair",'Qredits maandlasten'!$H$4,IF('Qredits maandlasten'!$C$10="Annuïteit",IFERROR('Qredits maandlasten'!$H$4-K87,0),0)))))</f>
        <v/>
      </c>
      <c r="K87" s="423" t="str">
        <f>IF($B86="","",IF($B86+1&gt;'Qredits maandlasten'!$C$7,"",G87*I87*'Qredits maandlasten'!$C$8/12))</f>
        <v/>
      </c>
      <c r="L87" s="423" t="str">
        <f t="shared" si="7"/>
        <v/>
      </c>
      <c r="M87" s="423" t="str">
        <f t="shared" si="5"/>
        <v/>
      </c>
      <c r="N87" s="422"/>
      <c r="O87" s="424" t="str">
        <f>IF($B87="","",'Qredits maandlasten'!$C$8/12)</f>
        <v/>
      </c>
      <c r="P87" s="424" t="str">
        <f>IF($B87="","",'Qredits maandlasten'!$C$8/12*(POWER(1+'Qredits maandlasten'!$C$8/12,$B87-1+1)))</f>
        <v/>
      </c>
      <c r="Q87" s="424" t="str">
        <f t="shared" si="8"/>
        <v/>
      </c>
      <c r="R87" s="422"/>
      <c r="S87" s="423" t="str">
        <f t="shared" si="6"/>
        <v/>
      </c>
      <c r="T87" s="423" t="str">
        <f>IF(S87="","",J87/(POWER(1+'Qredits maandlasten'!$C$8/12,$B87-1+1)))</f>
        <v/>
      </c>
      <c r="U87" s="425" t="str">
        <f t="shared" si="9"/>
        <v/>
      </c>
      <c r="V87" s="423" t="str">
        <f>IF($B87="","",K87/(POWER(1+'Qredits maandlasten'!$C$8/12,$B87-1+1)))</f>
        <v/>
      </c>
      <c r="W87" s="422"/>
    </row>
    <row r="88" spans="1:23" s="427" customFormat="1" x14ac:dyDescent="0.2">
      <c r="A88" s="418"/>
      <c r="B88" s="419" t="str">
        <f>IF($B87="","",IF($B87+1&gt;'Qredits maandlasten'!$C$7,"",Schema!B87+1))</f>
        <v/>
      </c>
      <c r="C88" s="420" t="str">
        <f>IF($B87="","",IF($B87+1&gt;'Qredits maandlasten'!$C$7,"",EOMONTH(C87,0)+1))</f>
        <v/>
      </c>
      <c r="D88" s="418"/>
      <c r="E88" s="420" t="str">
        <f>IF($B87="","",IF($B87+1&gt;'Qredits maandlasten'!$C$7,"",F87+1))</f>
        <v/>
      </c>
      <c r="F88" s="420" t="str">
        <f>IF($B87="","",IF($B87+1&gt;'Qredits maandlasten'!$C$7,"",EOMONTH(C88,-1)))</f>
        <v/>
      </c>
      <c r="G88" s="421" t="str">
        <f>IF($B87="","",IF($B87+1&gt;'Qredits maandlasten'!$C$7,"",(_xlfn.DAYS(F88,E88)+1)/DAY(F88)))</f>
        <v/>
      </c>
      <c r="H88" s="422"/>
      <c r="I88" s="423" t="str">
        <f>IF($B87="","",IF($B87+1&gt;'Qredits maandlasten'!$C$7,"",I87-J87))</f>
        <v/>
      </c>
      <c r="J88" s="423" t="str">
        <f>IF($B87="","",IF($B87+1&gt;'Qredits maandlasten'!$C$7,"",IF(B87&lt;'Investering &amp; Financiering'!$E$52-1,0,IF('Qredits maandlasten'!$C$10="Lineair",'Qredits maandlasten'!$H$4,IF('Qredits maandlasten'!$C$10="Annuïteit",IFERROR('Qredits maandlasten'!$H$4-K88,0),0)))))</f>
        <v/>
      </c>
      <c r="K88" s="423" t="str">
        <f>IF($B87="","",IF($B87+1&gt;'Qredits maandlasten'!$C$7,"",G88*I88*'Qredits maandlasten'!$C$8/12))</f>
        <v/>
      </c>
      <c r="L88" s="423" t="str">
        <f t="shared" si="7"/>
        <v/>
      </c>
      <c r="M88" s="423" t="str">
        <f t="shared" si="5"/>
        <v/>
      </c>
      <c r="N88" s="422"/>
      <c r="O88" s="424" t="str">
        <f>IF($B88="","",'Qredits maandlasten'!$C$8/12)</f>
        <v/>
      </c>
      <c r="P88" s="424" t="str">
        <f>IF($B88="","",'Qredits maandlasten'!$C$8/12*(POWER(1+'Qredits maandlasten'!$C$8/12,$B88-1+1)))</f>
        <v/>
      </c>
      <c r="Q88" s="424" t="str">
        <f t="shared" si="8"/>
        <v/>
      </c>
      <c r="R88" s="422"/>
      <c r="S88" s="423" t="str">
        <f t="shared" si="6"/>
        <v/>
      </c>
      <c r="T88" s="423" t="str">
        <f>IF(S88="","",J88/(POWER(1+'Qredits maandlasten'!$C$8/12,$B88-1+1)))</f>
        <v/>
      </c>
      <c r="U88" s="425" t="str">
        <f t="shared" si="9"/>
        <v/>
      </c>
      <c r="V88" s="423" t="str">
        <f>IF($B88="","",K88/(POWER(1+'Qredits maandlasten'!$C$8/12,$B88-1+1)))</f>
        <v/>
      </c>
      <c r="W88" s="422"/>
    </row>
    <row r="89" spans="1:23" s="427" customFormat="1" x14ac:dyDescent="0.2">
      <c r="A89" s="418"/>
      <c r="B89" s="419" t="str">
        <f>IF($B88="","",IF($B88+1&gt;'Qredits maandlasten'!$C$7,"",Schema!B88+1))</f>
        <v/>
      </c>
      <c r="C89" s="420" t="str">
        <f>IF($B88="","",IF($B88+1&gt;'Qredits maandlasten'!$C$7,"",EOMONTH(C88,0)+1))</f>
        <v/>
      </c>
      <c r="D89" s="418"/>
      <c r="E89" s="420" t="str">
        <f>IF($B88="","",IF($B88+1&gt;'Qredits maandlasten'!$C$7,"",F88+1))</f>
        <v/>
      </c>
      <c r="F89" s="420" t="str">
        <f>IF($B88="","",IF($B88+1&gt;'Qredits maandlasten'!$C$7,"",EOMONTH(C89,-1)))</f>
        <v/>
      </c>
      <c r="G89" s="421" t="str">
        <f>IF($B88="","",IF($B88+1&gt;'Qredits maandlasten'!$C$7,"",(_xlfn.DAYS(F89,E89)+1)/DAY(F89)))</f>
        <v/>
      </c>
      <c r="H89" s="422"/>
      <c r="I89" s="423" t="str">
        <f>IF($B88="","",IF($B88+1&gt;'Qredits maandlasten'!$C$7,"",I88-J88))</f>
        <v/>
      </c>
      <c r="J89" s="423" t="str">
        <f>IF($B88="","",IF($B88+1&gt;'Qredits maandlasten'!$C$7,"",IF(B88&lt;'Investering &amp; Financiering'!$E$52-1,0,IF('Qredits maandlasten'!$C$10="Lineair",'Qredits maandlasten'!$H$4,IF('Qredits maandlasten'!$C$10="Annuïteit",IFERROR('Qredits maandlasten'!$H$4-K89,0),0)))))</f>
        <v/>
      </c>
      <c r="K89" s="423" t="str">
        <f>IF($B88="","",IF($B88+1&gt;'Qredits maandlasten'!$C$7,"",G89*I89*'Qredits maandlasten'!$C$8/12))</f>
        <v/>
      </c>
      <c r="L89" s="423" t="str">
        <f t="shared" si="7"/>
        <v/>
      </c>
      <c r="M89" s="423" t="str">
        <f t="shared" si="5"/>
        <v/>
      </c>
      <c r="N89" s="422"/>
      <c r="O89" s="424" t="str">
        <f>IF($B89="","",'Qredits maandlasten'!$C$8/12)</f>
        <v/>
      </c>
      <c r="P89" s="424" t="str">
        <f>IF($B89="","",'Qredits maandlasten'!$C$8/12*(POWER(1+'Qredits maandlasten'!$C$8/12,$B89-1+1)))</f>
        <v/>
      </c>
      <c r="Q89" s="424" t="str">
        <f t="shared" si="8"/>
        <v/>
      </c>
      <c r="R89" s="422"/>
      <c r="S89" s="423" t="str">
        <f t="shared" si="6"/>
        <v/>
      </c>
      <c r="T89" s="423" t="str">
        <f>IF(S89="","",J89/(POWER(1+'Qredits maandlasten'!$C$8/12,$B89-1+1)))</f>
        <v/>
      </c>
      <c r="U89" s="425" t="str">
        <f t="shared" si="9"/>
        <v/>
      </c>
      <c r="V89" s="423" t="str">
        <f>IF($B89="","",K89/(POWER(1+'Qredits maandlasten'!$C$8/12,$B89-1+1)))</f>
        <v/>
      </c>
      <c r="W89" s="422"/>
    </row>
    <row r="90" spans="1:23" s="427" customFormat="1" x14ac:dyDescent="0.2">
      <c r="A90" s="418"/>
      <c r="B90" s="419" t="str">
        <f>IF($B89="","",IF($B89+1&gt;'Qredits maandlasten'!$C$7,"",Schema!B89+1))</f>
        <v/>
      </c>
      <c r="C90" s="420" t="str">
        <f>IF($B89="","",IF($B89+1&gt;'Qredits maandlasten'!$C$7,"",EOMONTH(C89,0)+1))</f>
        <v/>
      </c>
      <c r="D90" s="418"/>
      <c r="E90" s="420" t="str">
        <f>IF($B89="","",IF($B89+1&gt;'Qredits maandlasten'!$C$7,"",F89+1))</f>
        <v/>
      </c>
      <c r="F90" s="420" t="str">
        <f>IF($B89="","",IF($B89+1&gt;'Qredits maandlasten'!$C$7,"",EOMONTH(C90,-1)))</f>
        <v/>
      </c>
      <c r="G90" s="421" t="str">
        <f>IF($B89="","",IF($B89+1&gt;'Qredits maandlasten'!$C$7,"",(_xlfn.DAYS(F90,E90)+1)/DAY(F90)))</f>
        <v/>
      </c>
      <c r="H90" s="422"/>
      <c r="I90" s="423" t="str">
        <f>IF($B89="","",IF($B89+1&gt;'Qredits maandlasten'!$C$7,"",I89-J89))</f>
        <v/>
      </c>
      <c r="J90" s="423" t="str">
        <f>IF($B89="","",IF($B89+1&gt;'Qredits maandlasten'!$C$7,"",IF(B89&lt;'Investering &amp; Financiering'!$E$52-1,0,IF('Qredits maandlasten'!$C$10="Lineair",'Qredits maandlasten'!$H$4,IF('Qredits maandlasten'!$C$10="Annuïteit",IFERROR('Qredits maandlasten'!$H$4-K90,0),0)))))</f>
        <v/>
      </c>
      <c r="K90" s="423" t="str">
        <f>IF($B89="","",IF($B89+1&gt;'Qredits maandlasten'!$C$7,"",G90*I90*'Qredits maandlasten'!$C$8/12))</f>
        <v/>
      </c>
      <c r="L90" s="423" t="str">
        <f t="shared" si="7"/>
        <v/>
      </c>
      <c r="M90" s="423" t="str">
        <f t="shared" si="5"/>
        <v/>
      </c>
      <c r="N90" s="422"/>
      <c r="O90" s="424" t="str">
        <f>IF($B90="","",'Qredits maandlasten'!$C$8/12)</f>
        <v/>
      </c>
      <c r="P90" s="424" t="str">
        <f>IF($B90="","",'Qredits maandlasten'!$C$8/12*(POWER(1+'Qredits maandlasten'!$C$8/12,$B90-1+1)))</f>
        <v/>
      </c>
      <c r="Q90" s="424" t="str">
        <f t="shared" si="8"/>
        <v/>
      </c>
      <c r="R90" s="422"/>
      <c r="S90" s="423" t="str">
        <f t="shared" si="6"/>
        <v/>
      </c>
      <c r="T90" s="423" t="str">
        <f>IF(S90="","",J90/(POWER(1+'Qredits maandlasten'!$C$8/12,$B90-1+1)))</f>
        <v/>
      </c>
      <c r="U90" s="425" t="str">
        <f t="shared" si="9"/>
        <v/>
      </c>
      <c r="V90" s="423" t="str">
        <f>IF($B90="","",K90/(POWER(1+'Qredits maandlasten'!$C$8/12,$B90-1+1)))</f>
        <v/>
      </c>
      <c r="W90" s="422"/>
    </row>
    <row r="91" spans="1:23" s="427" customFormat="1" x14ac:dyDescent="0.2">
      <c r="A91" s="418"/>
      <c r="B91" s="419" t="str">
        <f>IF($B90="","",IF($B90+1&gt;'Qredits maandlasten'!$C$7,"",Schema!B90+1))</f>
        <v/>
      </c>
      <c r="C91" s="420" t="str">
        <f>IF($B90="","",IF($B90+1&gt;'Qredits maandlasten'!$C$7,"",EOMONTH(C90,0)+1))</f>
        <v/>
      </c>
      <c r="D91" s="418"/>
      <c r="E91" s="420" t="str">
        <f>IF($B90="","",IF($B90+1&gt;'Qredits maandlasten'!$C$7,"",F90+1))</f>
        <v/>
      </c>
      <c r="F91" s="420" t="str">
        <f>IF($B90="","",IF($B90+1&gt;'Qredits maandlasten'!$C$7,"",EOMONTH(C91,-1)))</f>
        <v/>
      </c>
      <c r="G91" s="421" t="str">
        <f>IF($B90="","",IF($B90+1&gt;'Qredits maandlasten'!$C$7,"",(_xlfn.DAYS(F91,E91)+1)/DAY(F91)))</f>
        <v/>
      </c>
      <c r="H91" s="422"/>
      <c r="I91" s="423" t="str">
        <f>IF($B90="","",IF($B90+1&gt;'Qredits maandlasten'!$C$7,"",I90-J90))</f>
        <v/>
      </c>
      <c r="J91" s="423" t="str">
        <f>IF($B90="","",IF($B90+1&gt;'Qredits maandlasten'!$C$7,"",IF(B90&lt;'Investering &amp; Financiering'!$E$52-1,0,IF('Qredits maandlasten'!$C$10="Lineair",'Qredits maandlasten'!$H$4,IF('Qredits maandlasten'!$C$10="Annuïteit",IFERROR('Qredits maandlasten'!$H$4-K91,0),0)))))</f>
        <v/>
      </c>
      <c r="K91" s="423" t="str">
        <f>IF($B90="","",IF($B90+1&gt;'Qredits maandlasten'!$C$7,"",G91*I91*'Qredits maandlasten'!$C$8/12))</f>
        <v/>
      </c>
      <c r="L91" s="423" t="str">
        <f t="shared" si="7"/>
        <v/>
      </c>
      <c r="M91" s="423" t="str">
        <f t="shared" si="5"/>
        <v/>
      </c>
      <c r="N91" s="422"/>
      <c r="O91" s="424" t="str">
        <f>IF($B91="","",'Qredits maandlasten'!$C$8/12)</f>
        <v/>
      </c>
      <c r="P91" s="424" t="str">
        <f>IF($B91="","",'Qredits maandlasten'!$C$8/12*(POWER(1+'Qredits maandlasten'!$C$8/12,$B91-1+1)))</f>
        <v/>
      </c>
      <c r="Q91" s="424" t="str">
        <f t="shared" si="8"/>
        <v/>
      </c>
      <c r="R91" s="422"/>
      <c r="S91" s="423" t="str">
        <f t="shared" si="6"/>
        <v/>
      </c>
      <c r="T91" s="423" t="str">
        <f>IF(S91="","",J91/(POWER(1+'Qredits maandlasten'!$C$8/12,$B91-1+1)))</f>
        <v/>
      </c>
      <c r="U91" s="425" t="str">
        <f t="shared" si="9"/>
        <v/>
      </c>
      <c r="V91" s="423" t="str">
        <f>IF($B91="","",K91/(POWER(1+'Qredits maandlasten'!$C$8/12,$B91-1+1)))</f>
        <v/>
      </c>
      <c r="W91" s="422"/>
    </row>
    <row r="92" spans="1:23" s="427" customFormat="1" x14ac:dyDescent="0.2">
      <c r="A92" s="418"/>
      <c r="B92" s="419" t="str">
        <f>IF($B91="","",IF($B91+1&gt;'Qredits maandlasten'!$C$7,"",Schema!B91+1))</f>
        <v/>
      </c>
      <c r="C92" s="420" t="str">
        <f>IF($B91="","",IF($B91+1&gt;'Qredits maandlasten'!$C$7,"",EOMONTH(C91,0)+1))</f>
        <v/>
      </c>
      <c r="D92" s="418"/>
      <c r="E92" s="420" t="str">
        <f>IF($B91="","",IF($B91+1&gt;'Qredits maandlasten'!$C$7,"",F91+1))</f>
        <v/>
      </c>
      <c r="F92" s="420" t="str">
        <f>IF($B91="","",IF($B91+1&gt;'Qredits maandlasten'!$C$7,"",EOMONTH(C92,-1)))</f>
        <v/>
      </c>
      <c r="G92" s="421" t="str">
        <f>IF($B91="","",IF($B91+1&gt;'Qredits maandlasten'!$C$7,"",(_xlfn.DAYS(F92,E92)+1)/DAY(F92)))</f>
        <v/>
      </c>
      <c r="H92" s="422"/>
      <c r="I92" s="423" t="str">
        <f>IF($B91="","",IF($B91+1&gt;'Qredits maandlasten'!$C$7,"",I91-J91))</f>
        <v/>
      </c>
      <c r="J92" s="423" t="str">
        <f>IF($B91="","",IF($B91+1&gt;'Qredits maandlasten'!$C$7,"",IF(B91&lt;'Investering &amp; Financiering'!$E$52-1,0,IF('Qredits maandlasten'!$C$10="Lineair",'Qredits maandlasten'!$H$4,IF('Qredits maandlasten'!$C$10="Annuïteit",IFERROR('Qredits maandlasten'!$H$4-K92,0),0)))))</f>
        <v/>
      </c>
      <c r="K92" s="423" t="str">
        <f>IF($B91="","",IF($B91+1&gt;'Qredits maandlasten'!$C$7,"",G92*I92*'Qredits maandlasten'!$C$8/12))</f>
        <v/>
      </c>
      <c r="L92" s="423" t="str">
        <f t="shared" si="7"/>
        <v/>
      </c>
      <c r="M92" s="423" t="str">
        <f t="shared" si="5"/>
        <v/>
      </c>
      <c r="N92" s="422"/>
      <c r="O92" s="424" t="str">
        <f>IF($B92="","",'Qredits maandlasten'!$C$8/12)</f>
        <v/>
      </c>
      <c r="P92" s="424" t="str">
        <f>IF($B92="","",'Qredits maandlasten'!$C$8/12*(POWER(1+'Qredits maandlasten'!$C$8/12,$B92-1+1)))</f>
        <v/>
      </c>
      <c r="Q92" s="424" t="str">
        <f t="shared" si="8"/>
        <v/>
      </c>
      <c r="R92" s="422"/>
      <c r="S92" s="423" t="str">
        <f t="shared" si="6"/>
        <v/>
      </c>
      <c r="T92" s="423" t="str">
        <f>IF(S92="","",J92/(POWER(1+'Qredits maandlasten'!$C$8/12,$B92-1+1)))</f>
        <v/>
      </c>
      <c r="U92" s="425" t="str">
        <f t="shared" si="9"/>
        <v/>
      </c>
      <c r="V92" s="423" t="str">
        <f>IF($B92="","",K92/(POWER(1+'Qredits maandlasten'!$C$8/12,$B92-1+1)))</f>
        <v/>
      </c>
      <c r="W92" s="422"/>
    </row>
    <row r="93" spans="1:23" s="427" customFormat="1" x14ac:dyDescent="0.2">
      <c r="A93" s="418"/>
      <c r="B93" s="419" t="str">
        <f>IF($B92="","",IF($B92+1&gt;'Qredits maandlasten'!$C$7,"",Schema!B92+1))</f>
        <v/>
      </c>
      <c r="C93" s="420" t="str">
        <f>IF($B92="","",IF($B92+1&gt;'Qredits maandlasten'!$C$7,"",EOMONTH(C92,0)+1))</f>
        <v/>
      </c>
      <c r="D93" s="418"/>
      <c r="E93" s="420" t="str">
        <f>IF($B92="","",IF($B92+1&gt;'Qredits maandlasten'!$C$7,"",F92+1))</f>
        <v/>
      </c>
      <c r="F93" s="420" t="str">
        <f>IF($B92="","",IF($B92+1&gt;'Qredits maandlasten'!$C$7,"",EOMONTH(C93,-1)))</f>
        <v/>
      </c>
      <c r="G93" s="421" t="str">
        <f>IF($B92="","",IF($B92+1&gt;'Qredits maandlasten'!$C$7,"",(_xlfn.DAYS(F93,E93)+1)/DAY(F93)))</f>
        <v/>
      </c>
      <c r="H93" s="422"/>
      <c r="I93" s="423" t="str">
        <f>IF($B92="","",IF($B92+1&gt;'Qredits maandlasten'!$C$7,"",I92-J92))</f>
        <v/>
      </c>
      <c r="J93" s="423" t="str">
        <f>IF($B92="","",IF($B92+1&gt;'Qredits maandlasten'!$C$7,"",IF(B92&lt;'Investering &amp; Financiering'!$E$52-1,0,IF('Qredits maandlasten'!$C$10="Lineair",'Qredits maandlasten'!$H$4,IF('Qredits maandlasten'!$C$10="Annuïteit",IFERROR('Qredits maandlasten'!$H$4-K93,0),0)))))</f>
        <v/>
      </c>
      <c r="K93" s="423" t="str">
        <f>IF($B92="","",IF($B92+1&gt;'Qredits maandlasten'!$C$7,"",G93*I93*'Qredits maandlasten'!$C$8/12))</f>
        <v/>
      </c>
      <c r="L93" s="423" t="str">
        <f t="shared" si="7"/>
        <v/>
      </c>
      <c r="M93" s="423" t="str">
        <f t="shared" si="5"/>
        <v/>
      </c>
      <c r="N93" s="422"/>
      <c r="O93" s="424" t="str">
        <f>IF($B93="","",'Qredits maandlasten'!$C$8/12)</f>
        <v/>
      </c>
      <c r="P93" s="424" t="str">
        <f>IF($B93="","",'Qredits maandlasten'!$C$8/12*(POWER(1+'Qredits maandlasten'!$C$8/12,$B93-1+1)))</f>
        <v/>
      </c>
      <c r="Q93" s="424" t="str">
        <f t="shared" si="8"/>
        <v/>
      </c>
      <c r="R93" s="422"/>
      <c r="S93" s="423" t="str">
        <f t="shared" si="6"/>
        <v/>
      </c>
      <c r="T93" s="423" t="str">
        <f>IF(S93="","",J93/(POWER(1+'Qredits maandlasten'!$C$8/12,$B93-1+1)))</f>
        <v/>
      </c>
      <c r="U93" s="425" t="str">
        <f t="shared" si="9"/>
        <v/>
      </c>
      <c r="V93" s="423" t="str">
        <f>IF($B93="","",K93/(POWER(1+'Qredits maandlasten'!$C$8/12,$B93-1+1)))</f>
        <v/>
      </c>
      <c r="W93" s="422"/>
    </row>
    <row r="94" spans="1:23" s="427" customFormat="1" x14ac:dyDescent="0.2">
      <c r="A94" s="418"/>
      <c r="B94" s="419" t="str">
        <f>IF($B93="","",IF($B93+1&gt;'Qredits maandlasten'!$C$7,"",Schema!B93+1))</f>
        <v/>
      </c>
      <c r="C94" s="420" t="str">
        <f>IF($B93="","",IF($B93+1&gt;'Qredits maandlasten'!$C$7,"",EOMONTH(C93,0)+1))</f>
        <v/>
      </c>
      <c r="D94" s="418"/>
      <c r="E94" s="420" t="str">
        <f>IF($B93="","",IF($B93+1&gt;'Qredits maandlasten'!$C$7,"",F93+1))</f>
        <v/>
      </c>
      <c r="F94" s="420" t="str">
        <f>IF($B93="","",IF($B93+1&gt;'Qredits maandlasten'!$C$7,"",EOMONTH(C94,-1)))</f>
        <v/>
      </c>
      <c r="G94" s="421" t="str">
        <f>IF($B93="","",IF($B93+1&gt;'Qredits maandlasten'!$C$7,"",(_xlfn.DAYS(F94,E94)+1)/DAY(F94)))</f>
        <v/>
      </c>
      <c r="H94" s="422"/>
      <c r="I94" s="423" t="str">
        <f>IF($B93="","",IF($B93+1&gt;'Qredits maandlasten'!$C$7,"",I93-J93))</f>
        <v/>
      </c>
      <c r="J94" s="423" t="str">
        <f>IF($B93="","",IF($B93+1&gt;'Qredits maandlasten'!$C$7,"",IF(B93&lt;'Investering &amp; Financiering'!$E$52-1,0,IF('Qredits maandlasten'!$C$10="Lineair",'Qredits maandlasten'!$H$4,IF('Qredits maandlasten'!$C$10="Annuïteit",IFERROR('Qredits maandlasten'!$H$4-K94,0),0)))))</f>
        <v/>
      </c>
      <c r="K94" s="423" t="str">
        <f>IF($B93="","",IF($B93+1&gt;'Qredits maandlasten'!$C$7,"",G94*I94*'Qredits maandlasten'!$C$8/12))</f>
        <v/>
      </c>
      <c r="L94" s="423" t="str">
        <f t="shared" si="7"/>
        <v/>
      </c>
      <c r="M94" s="423" t="str">
        <f t="shared" si="5"/>
        <v/>
      </c>
      <c r="N94" s="422"/>
      <c r="O94" s="424" t="str">
        <f>IF($B94="","",'Qredits maandlasten'!$C$8/12)</f>
        <v/>
      </c>
      <c r="P94" s="424" t="str">
        <f>IF($B94="","",'Qredits maandlasten'!$C$8/12*(POWER(1+'Qredits maandlasten'!$C$8/12,$B94-1+1)))</f>
        <v/>
      </c>
      <c r="Q94" s="424" t="str">
        <f t="shared" si="8"/>
        <v/>
      </c>
      <c r="R94" s="422"/>
      <c r="S94" s="423" t="str">
        <f t="shared" si="6"/>
        <v/>
      </c>
      <c r="T94" s="423" t="str">
        <f>IF(S94="","",J94/(POWER(1+'Qredits maandlasten'!$C$8/12,$B94-1+1)))</f>
        <v/>
      </c>
      <c r="U94" s="425" t="str">
        <f t="shared" si="9"/>
        <v/>
      </c>
      <c r="V94" s="423" t="str">
        <f>IF($B94="","",K94/(POWER(1+'Qredits maandlasten'!$C$8/12,$B94-1+1)))</f>
        <v/>
      </c>
      <c r="W94" s="422"/>
    </row>
    <row r="95" spans="1:23" s="427" customFormat="1" x14ac:dyDescent="0.2">
      <c r="A95" s="418"/>
      <c r="B95" s="419" t="str">
        <f>IF($B94="","",IF($B94+1&gt;'Qredits maandlasten'!$C$7,"",Schema!B94+1))</f>
        <v/>
      </c>
      <c r="C95" s="420" t="str">
        <f>IF($B94="","",IF($B94+1&gt;'Qredits maandlasten'!$C$7,"",EOMONTH(C94,0)+1))</f>
        <v/>
      </c>
      <c r="D95" s="418"/>
      <c r="E95" s="420" t="str">
        <f>IF($B94="","",IF($B94+1&gt;'Qredits maandlasten'!$C$7,"",F94+1))</f>
        <v/>
      </c>
      <c r="F95" s="420" t="str">
        <f>IF($B94="","",IF($B94+1&gt;'Qredits maandlasten'!$C$7,"",EOMONTH(C95,-1)))</f>
        <v/>
      </c>
      <c r="G95" s="421" t="str">
        <f>IF($B94="","",IF($B94+1&gt;'Qredits maandlasten'!$C$7,"",(_xlfn.DAYS(F95,E95)+1)/DAY(F95)))</f>
        <v/>
      </c>
      <c r="H95" s="422"/>
      <c r="I95" s="423" t="str">
        <f>IF($B94="","",IF($B94+1&gt;'Qredits maandlasten'!$C$7,"",I94-J94))</f>
        <v/>
      </c>
      <c r="J95" s="423" t="str">
        <f>IF($B94="","",IF($B94+1&gt;'Qredits maandlasten'!$C$7,"",IF(B94&lt;'Investering &amp; Financiering'!$E$52-1,0,IF('Qredits maandlasten'!$C$10="Lineair",'Qredits maandlasten'!$H$4,IF('Qredits maandlasten'!$C$10="Annuïteit",IFERROR('Qredits maandlasten'!$H$4-K95,0),0)))))</f>
        <v/>
      </c>
      <c r="K95" s="423" t="str">
        <f>IF($B94="","",IF($B94+1&gt;'Qredits maandlasten'!$C$7,"",G95*I95*'Qredits maandlasten'!$C$8/12))</f>
        <v/>
      </c>
      <c r="L95" s="423" t="str">
        <f t="shared" si="7"/>
        <v/>
      </c>
      <c r="M95" s="423" t="str">
        <f t="shared" si="5"/>
        <v/>
      </c>
      <c r="N95" s="422"/>
      <c r="O95" s="424" t="str">
        <f>IF($B95="","",'Qredits maandlasten'!$C$8/12)</f>
        <v/>
      </c>
      <c r="P95" s="424" t="str">
        <f>IF($B95="","",'Qredits maandlasten'!$C$8/12*(POWER(1+'Qredits maandlasten'!$C$8/12,$B95-1+1)))</f>
        <v/>
      </c>
      <c r="Q95" s="424" t="str">
        <f t="shared" si="8"/>
        <v/>
      </c>
      <c r="R95" s="422"/>
      <c r="S95" s="423" t="str">
        <f t="shared" si="6"/>
        <v/>
      </c>
      <c r="T95" s="423" t="str">
        <f>IF(S95="","",J95/(POWER(1+'Qredits maandlasten'!$C$8/12,$B95-1+1)))</f>
        <v/>
      </c>
      <c r="U95" s="425" t="str">
        <f t="shared" si="9"/>
        <v/>
      </c>
      <c r="V95" s="423" t="str">
        <f>IF($B95="","",K95/(POWER(1+'Qredits maandlasten'!$C$8/12,$B95-1+1)))</f>
        <v/>
      </c>
      <c r="W95" s="422"/>
    </row>
    <row r="96" spans="1:23" s="427" customFormat="1" x14ac:dyDescent="0.2">
      <c r="A96" s="418"/>
      <c r="B96" s="419" t="str">
        <f>IF($B95="","",IF($B95+1&gt;'Qredits maandlasten'!$C$7,"",Schema!B95+1))</f>
        <v/>
      </c>
      <c r="C96" s="420" t="str">
        <f>IF($B95="","",IF($B95+1&gt;'Qredits maandlasten'!$C$7,"",EOMONTH(C95,0)+1))</f>
        <v/>
      </c>
      <c r="D96" s="418"/>
      <c r="E96" s="420" t="str">
        <f>IF($B95="","",IF($B95+1&gt;'Qredits maandlasten'!$C$7,"",F95+1))</f>
        <v/>
      </c>
      <c r="F96" s="420" t="str">
        <f>IF($B95="","",IF($B95+1&gt;'Qredits maandlasten'!$C$7,"",EOMONTH(C96,-1)))</f>
        <v/>
      </c>
      <c r="G96" s="421" t="str">
        <f>IF($B95="","",IF($B95+1&gt;'Qredits maandlasten'!$C$7,"",(_xlfn.DAYS(F96,E96)+1)/DAY(F96)))</f>
        <v/>
      </c>
      <c r="H96" s="422"/>
      <c r="I96" s="423" t="str">
        <f>IF($B95="","",IF($B95+1&gt;'Qredits maandlasten'!$C$7,"",I95-J95))</f>
        <v/>
      </c>
      <c r="J96" s="423" t="str">
        <f>IF($B95="","",IF($B95+1&gt;'Qredits maandlasten'!$C$7,"",IF(B95&lt;'Investering &amp; Financiering'!$E$52-1,0,IF('Qredits maandlasten'!$C$10="Lineair",'Qredits maandlasten'!$H$4,IF('Qredits maandlasten'!$C$10="Annuïteit",IFERROR('Qredits maandlasten'!$H$4-K96,0),0)))))</f>
        <v/>
      </c>
      <c r="K96" s="423" t="str">
        <f>IF($B95="","",IF($B95+1&gt;'Qredits maandlasten'!$C$7,"",G96*I96*'Qredits maandlasten'!$C$8/12))</f>
        <v/>
      </c>
      <c r="L96" s="423" t="str">
        <f t="shared" si="7"/>
        <v/>
      </c>
      <c r="M96" s="423" t="str">
        <f t="shared" si="5"/>
        <v/>
      </c>
      <c r="N96" s="422"/>
      <c r="O96" s="424" t="str">
        <f>IF($B96="","",'Qredits maandlasten'!$C$8/12)</f>
        <v/>
      </c>
      <c r="P96" s="424" t="str">
        <f>IF($B96="","",'Qredits maandlasten'!$C$8/12*(POWER(1+'Qredits maandlasten'!$C$8/12,$B96-1+1)))</f>
        <v/>
      </c>
      <c r="Q96" s="424" t="str">
        <f t="shared" si="8"/>
        <v/>
      </c>
      <c r="R96" s="422"/>
      <c r="S96" s="423" t="str">
        <f t="shared" si="6"/>
        <v/>
      </c>
      <c r="T96" s="423" t="str">
        <f>IF(S96="","",J96/(POWER(1+'Qredits maandlasten'!$C$8/12,$B96-1+1)))</f>
        <v/>
      </c>
      <c r="U96" s="425" t="str">
        <f t="shared" si="9"/>
        <v/>
      </c>
      <c r="V96" s="423" t="str">
        <f>IF($B96="","",K96/(POWER(1+'Qredits maandlasten'!$C$8/12,$B96-1+1)))</f>
        <v/>
      </c>
      <c r="W96" s="422"/>
    </row>
    <row r="97" spans="1:23" s="427" customFormat="1" x14ac:dyDescent="0.2">
      <c r="A97" s="418"/>
      <c r="B97" s="419" t="str">
        <f>IF($B96="","",IF($B96+1&gt;'Qredits maandlasten'!$C$7,"",Schema!B96+1))</f>
        <v/>
      </c>
      <c r="C97" s="420" t="str">
        <f>IF($B96="","",IF($B96+1&gt;'Qredits maandlasten'!$C$7,"",EOMONTH(C96,0)+1))</f>
        <v/>
      </c>
      <c r="D97" s="418"/>
      <c r="E97" s="420" t="str">
        <f>IF($B96="","",IF($B96+1&gt;'Qredits maandlasten'!$C$7,"",F96+1))</f>
        <v/>
      </c>
      <c r="F97" s="420" t="str">
        <f>IF($B96="","",IF($B96+1&gt;'Qredits maandlasten'!$C$7,"",EOMONTH(C97,-1)))</f>
        <v/>
      </c>
      <c r="G97" s="421" t="str">
        <f>IF($B96="","",IF($B96+1&gt;'Qredits maandlasten'!$C$7,"",(_xlfn.DAYS(F97,E97)+1)/DAY(F97)))</f>
        <v/>
      </c>
      <c r="H97" s="422"/>
      <c r="I97" s="423" t="str">
        <f>IF($B96="","",IF($B96+1&gt;'Qredits maandlasten'!$C$7,"",I96-J96))</f>
        <v/>
      </c>
      <c r="J97" s="423" t="str">
        <f>IF($B96="","",IF($B96+1&gt;'Qredits maandlasten'!$C$7,"",IF(B96&lt;'Investering &amp; Financiering'!$E$52-1,0,IF('Qredits maandlasten'!$C$10="Lineair",'Qredits maandlasten'!$H$4,IF('Qredits maandlasten'!$C$10="Annuïteit",IFERROR('Qredits maandlasten'!$H$4-K97,0),0)))))</f>
        <v/>
      </c>
      <c r="K97" s="423" t="str">
        <f>IF($B96="","",IF($B96+1&gt;'Qredits maandlasten'!$C$7,"",G97*I97*'Qredits maandlasten'!$C$8/12))</f>
        <v/>
      </c>
      <c r="L97" s="423" t="str">
        <f t="shared" si="7"/>
        <v/>
      </c>
      <c r="M97" s="423" t="str">
        <f t="shared" si="5"/>
        <v/>
      </c>
      <c r="N97" s="422"/>
      <c r="O97" s="424" t="str">
        <f>IF($B97="","",'Qredits maandlasten'!$C$8/12)</f>
        <v/>
      </c>
      <c r="P97" s="424" t="str">
        <f>IF($B97="","",'Qredits maandlasten'!$C$8/12*(POWER(1+'Qredits maandlasten'!$C$8/12,$B97-1+1)))</f>
        <v/>
      </c>
      <c r="Q97" s="424" t="str">
        <f t="shared" si="8"/>
        <v/>
      </c>
      <c r="R97" s="422"/>
      <c r="S97" s="423" t="str">
        <f t="shared" si="6"/>
        <v/>
      </c>
      <c r="T97" s="423" t="str">
        <f>IF(S97="","",J97/(POWER(1+'Qredits maandlasten'!$C$8/12,$B97-1+1)))</f>
        <v/>
      </c>
      <c r="U97" s="425" t="str">
        <f t="shared" si="9"/>
        <v/>
      </c>
      <c r="V97" s="423" t="str">
        <f>IF($B97="","",K97/(POWER(1+'Qredits maandlasten'!$C$8/12,$B97-1+1)))</f>
        <v/>
      </c>
      <c r="W97" s="422"/>
    </row>
    <row r="98" spans="1:23" s="427" customFormat="1" x14ac:dyDescent="0.2">
      <c r="A98" s="418"/>
      <c r="B98" s="419" t="str">
        <f>IF($B97="","",IF($B97+1&gt;'Qredits maandlasten'!$C$7,"",Schema!B97+1))</f>
        <v/>
      </c>
      <c r="C98" s="420" t="str">
        <f>IF($B97="","",IF($B97+1&gt;'Qredits maandlasten'!$C$7,"",EOMONTH(C97,0)+1))</f>
        <v/>
      </c>
      <c r="D98" s="418"/>
      <c r="E98" s="420" t="str">
        <f>IF($B97="","",IF($B97+1&gt;'Qredits maandlasten'!$C$7,"",F97+1))</f>
        <v/>
      </c>
      <c r="F98" s="420" t="str">
        <f>IF($B97="","",IF($B97+1&gt;'Qredits maandlasten'!$C$7,"",EOMONTH(C98,-1)))</f>
        <v/>
      </c>
      <c r="G98" s="421" t="str">
        <f>IF($B97="","",IF($B97+1&gt;'Qredits maandlasten'!$C$7,"",(_xlfn.DAYS(F98,E98)+1)/DAY(F98)))</f>
        <v/>
      </c>
      <c r="H98" s="422"/>
      <c r="I98" s="423" t="str">
        <f>IF($B97="","",IF($B97+1&gt;'Qredits maandlasten'!$C$7,"",I97-J97))</f>
        <v/>
      </c>
      <c r="J98" s="423" t="str">
        <f>IF($B97="","",IF($B97+1&gt;'Qredits maandlasten'!$C$7,"",IF(B97&lt;'Investering &amp; Financiering'!$E$52-1,0,IF('Qredits maandlasten'!$C$10="Lineair",'Qredits maandlasten'!$H$4,IF('Qredits maandlasten'!$C$10="Annuïteit",IFERROR('Qredits maandlasten'!$H$4-K98,0),0)))))</f>
        <v/>
      </c>
      <c r="K98" s="423" t="str">
        <f>IF($B97="","",IF($B97+1&gt;'Qredits maandlasten'!$C$7,"",G98*I98*'Qredits maandlasten'!$C$8/12))</f>
        <v/>
      </c>
      <c r="L98" s="423" t="str">
        <f t="shared" si="7"/>
        <v/>
      </c>
      <c r="M98" s="423" t="str">
        <f t="shared" si="5"/>
        <v/>
      </c>
      <c r="N98" s="422"/>
      <c r="O98" s="424" t="str">
        <f>IF($B98="","",'Qredits maandlasten'!$C$8/12)</f>
        <v/>
      </c>
      <c r="P98" s="424" t="str">
        <f>IF($B98="","",'Qredits maandlasten'!$C$8/12*(POWER(1+'Qredits maandlasten'!$C$8/12,$B98-1+1)))</f>
        <v/>
      </c>
      <c r="Q98" s="424" t="str">
        <f t="shared" si="8"/>
        <v/>
      </c>
      <c r="R98" s="422"/>
      <c r="S98" s="423" t="str">
        <f t="shared" si="6"/>
        <v/>
      </c>
      <c r="T98" s="423" t="str">
        <f>IF(S98="","",J98/(POWER(1+'Qredits maandlasten'!$C$8/12,$B98-1+1)))</f>
        <v/>
      </c>
      <c r="U98" s="425" t="str">
        <f t="shared" si="9"/>
        <v/>
      </c>
      <c r="V98" s="423" t="str">
        <f>IF($B98="","",K98/(POWER(1+'Qredits maandlasten'!$C$8/12,$B98-1+1)))</f>
        <v/>
      </c>
      <c r="W98" s="422"/>
    </row>
    <row r="99" spans="1:23" s="427" customFormat="1" x14ac:dyDescent="0.2">
      <c r="A99" s="418"/>
      <c r="B99" s="419" t="str">
        <f>IF($B98="","",IF($B98+1&gt;'Qredits maandlasten'!$C$7,"",Schema!B98+1))</f>
        <v/>
      </c>
      <c r="C99" s="420" t="str">
        <f>IF($B98="","",IF($B98+1&gt;'Qredits maandlasten'!$C$7,"",EOMONTH(C98,0)+1))</f>
        <v/>
      </c>
      <c r="D99" s="418"/>
      <c r="E99" s="420" t="str">
        <f>IF($B98="","",IF($B98+1&gt;'Qredits maandlasten'!$C$7,"",F98+1))</f>
        <v/>
      </c>
      <c r="F99" s="420" t="str">
        <f>IF($B98="","",IF($B98+1&gt;'Qredits maandlasten'!$C$7,"",EOMONTH(C99,-1)))</f>
        <v/>
      </c>
      <c r="G99" s="421" t="str">
        <f>IF($B98="","",IF($B98+1&gt;'Qredits maandlasten'!$C$7,"",(_xlfn.DAYS(F99,E99)+1)/DAY(F99)))</f>
        <v/>
      </c>
      <c r="H99" s="422"/>
      <c r="I99" s="423" t="str">
        <f>IF($B98="","",IF($B98+1&gt;'Qredits maandlasten'!$C$7,"",I98-J98))</f>
        <v/>
      </c>
      <c r="J99" s="423" t="str">
        <f>IF($B98="","",IF($B98+1&gt;'Qredits maandlasten'!$C$7,"",IF(B98&lt;'Investering &amp; Financiering'!$E$52-1,0,IF('Qredits maandlasten'!$C$10="Lineair",'Qredits maandlasten'!$H$4,IF('Qredits maandlasten'!$C$10="Annuïteit",IFERROR('Qredits maandlasten'!$H$4-K99,0),0)))))</f>
        <v/>
      </c>
      <c r="K99" s="423" t="str">
        <f>IF($B98="","",IF($B98+1&gt;'Qredits maandlasten'!$C$7,"",G99*I99*'Qredits maandlasten'!$C$8/12))</f>
        <v/>
      </c>
      <c r="L99" s="423" t="str">
        <f t="shared" si="7"/>
        <v/>
      </c>
      <c r="M99" s="423" t="str">
        <f t="shared" si="5"/>
        <v/>
      </c>
      <c r="N99" s="422"/>
      <c r="O99" s="424" t="str">
        <f>IF($B99="","",'Qredits maandlasten'!$C$8/12)</f>
        <v/>
      </c>
      <c r="P99" s="424" t="str">
        <f>IF($B99="","",'Qredits maandlasten'!$C$8/12*(POWER(1+'Qredits maandlasten'!$C$8/12,$B99-1+1)))</f>
        <v/>
      </c>
      <c r="Q99" s="424" t="str">
        <f t="shared" si="8"/>
        <v/>
      </c>
      <c r="R99" s="422"/>
      <c r="S99" s="423" t="str">
        <f t="shared" si="6"/>
        <v/>
      </c>
      <c r="T99" s="423" t="str">
        <f>IF(S99="","",J99/(POWER(1+'Qredits maandlasten'!$C$8/12,$B99-1+1)))</f>
        <v/>
      </c>
      <c r="U99" s="425" t="str">
        <f t="shared" si="9"/>
        <v/>
      </c>
      <c r="V99" s="423" t="str">
        <f>IF($B99="","",K99/(POWER(1+'Qredits maandlasten'!$C$8/12,$B99-1+1)))</f>
        <v/>
      </c>
      <c r="W99" s="422"/>
    </row>
    <row r="100" spans="1:23" s="427" customFormat="1" x14ac:dyDescent="0.2">
      <c r="A100" s="418"/>
      <c r="B100" s="419" t="str">
        <f>IF($B99="","",IF($B99+1&gt;'Qredits maandlasten'!$C$7,"",Schema!B99+1))</f>
        <v/>
      </c>
      <c r="C100" s="420" t="str">
        <f>IF($B99="","",IF($B99+1&gt;'Qredits maandlasten'!$C$7,"",EOMONTH(C99,0)+1))</f>
        <v/>
      </c>
      <c r="D100" s="418"/>
      <c r="E100" s="420" t="str">
        <f>IF($B99="","",IF($B99+1&gt;'Qredits maandlasten'!$C$7,"",F99+1))</f>
        <v/>
      </c>
      <c r="F100" s="420" t="str">
        <f>IF($B99="","",IF($B99+1&gt;'Qredits maandlasten'!$C$7,"",EOMONTH(C100,-1)))</f>
        <v/>
      </c>
      <c r="G100" s="421" t="str">
        <f>IF($B99="","",IF($B99+1&gt;'Qredits maandlasten'!$C$7,"",(_xlfn.DAYS(F100,E100)+1)/DAY(F100)))</f>
        <v/>
      </c>
      <c r="H100" s="422"/>
      <c r="I100" s="423" t="str">
        <f>IF($B99="","",IF($B99+1&gt;'Qredits maandlasten'!$C$7,"",I99-J99))</f>
        <v/>
      </c>
      <c r="J100" s="423" t="str">
        <f>IF($B99="","",IF($B99+1&gt;'Qredits maandlasten'!$C$7,"",IF(B99&lt;'Investering &amp; Financiering'!$E$52-1,0,IF('Qredits maandlasten'!$C$10="Lineair",'Qredits maandlasten'!$H$4,IF('Qredits maandlasten'!$C$10="Annuïteit",IFERROR('Qredits maandlasten'!$H$4-K100,0),0)))))</f>
        <v/>
      </c>
      <c r="K100" s="423" t="str">
        <f>IF($B99="","",IF($B99+1&gt;'Qredits maandlasten'!$C$7,"",G100*I100*'Qredits maandlasten'!$C$8/12))</f>
        <v/>
      </c>
      <c r="L100" s="423" t="str">
        <f t="shared" si="7"/>
        <v/>
      </c>
      <c r="M100" s="423" t="str">
        <f t="shared" si="5"/>
        <v/>
      </c>
      <c r="N100" s="422"/>
      <c r="O100" s="424" t="str">
        <f>IF($B100="","",'Qredits maandlasten'!$C$8/12)</f>
        <v/>
      </c>
      <c r="P100" s="424" t="str">
        <f>IF($B100="","",'Qredits maandlasten'!$C$8/12*(POWER(1+'Qredits maandlasten'!$C$8/12,$B100-1+1)))</f>
        <v/>
      </c>
      <c r="Q100" s="424" t="str">
        <f t="shared" si="8"/>
        <v/>
      </c>
      <c r="R100" s="422"/>
      <c r="S100" s="423" t="str">
        <f t="shared" si="6"/>
        <v/>
      </c>
      <c r="T100" s="423" t="str">
        <f>IF(S100="","",J100/(POWER(1+'Qredits maandlasten'!$C$8/12,$B100-1+1)))</f>
        <v/>
      </c>
      <c r="U100" s="425" t="str">
        <f t="shared" si="9"/>
        <v/>
      </c>
      <c r="V100" s="423" t="str">
        <f>IF($B100="","",K100/(POWER(1+'Qredits maandlasten'!$C$8/12,$B100-1+1)))</f>
        <v/>
      </c>
      <c r="W100" s="422"/>
    </row>
    <row r="101" spans="1:23" s="427" customFormat="1" x14ac:dyDescent="0.2">
      <c r="A101" s="418"/>
      <c r="B101" s="419" t="str">
        <f>IF($B100="","",IF($B100+1&gt;'Qredits maandlasten'!$C$7,"",Schema!B100+1))</f>
        <v/>
      </c>
      <c r="C101" s="420" t="str">
        <f>IF($B100="","",IF($B100+1&gt;'Qredits maandlasten'!$C$7,"",EOMONTH(C100,0)+1))</f>
        <v/>
      </c>
      <c r="D101" s="418"/>
      <c r="E101" s="420" t="str">
        <f>IF($B100="","",IF($B100+1&gt;'Qredits maandlasten'!$C$7,"",F100+1))</f>
        <v/>
      </c>
      <c r="F101" s="420" t="str">
        <f>IF($B100="","",IF($B100+1&gt;'Qredits maandlasten'!$C$7,"",EOMONTH(C101,-1)))</f>
        <v/>
      </c>
      <c r="G101" s="421" t="str">
        <f>IF($B100="","",IF($B100+1&gt;'Qredits maandlasten'!$C$7,"",(_xlfn.DAYS(F101,E101)+1)/DAY(F101)))</f>
        <v/>
      </c>
      <c r="H101" s="422"/>
      <c r="I101" s="423" t="str">
        <f>IF($B100="","",IF($B100+1&gt;'Qredits maandlasten'!$C$7,"",I100-J100))</f>
        <v/>
      </c>
      <c r="J101" s="423" t="str">
        <f>IF($B100="","",IF($B100+1&gt;'Qredits maandlasten'!$C$7,"",IF(B100&lt;'Investering &amp; Financiering'!$E$52-1,0,IF('Qredits maandlasten'!$C$10="Lineair",'Qredits maandlasten'!$H$4,IF('Qredits maandlasten'!$C$10="Annuïteit",IFERROR('Qredits maandlasten'!$H$4-K101,0),0)))))</f>
        <v/>
      </c>
      <c r="K101" s="423" t="str">
        <f>IF($B100="","",IF($B100+1&gt;'Qredits maandlasten'!$C$7,"",G101*I101*'Qredits maandlasten'!$C$8/12))</f>
        <v/>
      </c>
      <c r="L101" s="423" t="str">
        <f t="shared" si="7"/>
        <v/>
      </c>
      <c r="M101" s="423" t="str">
        <f t="shared" si="5"/>
        <v/>
      </c>
      <c r="N101" s="422"/>
      <c r="O101" s="424" t="str">
        <f>IF($B101="","",'Qredits maandlasten'!$C$8/12)</f>
        <v/>
      </c>
      <c r="P101" s="424" t="str">
        <f>IF($B101="","",'Qredits maandlasten'!$C$8/12*(POWER(1+'Qredits maandlasten'!$C$8/12,$B101-1+1)))</f>
        <v/>
      </c>
      <c r="Q101" s="424" t="str">
        <f t="shared" si="8"/>
        <v/>
      </c>
      <c r="R101" s="422"/>
      <c r="S101" s="423" t="str">
        <f t="shared" si="6"/>
        <v/>
      </c>
      <c r="T101" s="423" t="str">
        <f>IF(S101="","",J101/(POWER(1+'Qredits maandlasten'!$C$8/12,$B101-1+1)))</f>
        <v/>
      </c>
      <c r="U101" s="425" t="str">
        <f t="shared" si="9"/>
        <v/>
      </c>
      <c r="V101" s="423" t="str">
        <f>IF($B101="","",K101/(POWER(1+'Qredits maandlasten'!$C$8/12,$B101-1+1)))</f>
        <v/>
      </c>
      <c r="W101" s="422"/>
    </row>
    <row r="102" spans="1:23" s="427" customFormat="1" x14ac:dyDescent="0.2">
      <c r="A102" s="418"/>
      <c r="B102" s="419" t="str">
        <f>IF($B101="","",IF($B101+1&gt;'Qredits maandlasten'!$C$7,"",Schema!B101+1))</f>
        <v/>
      </c>
      <c r="C102" s="420" t="str">
        <f>IF($B101="","",IF($B101+1&gt;'Qredits maandlasten'!$C$7,"",EOMONTH(C101,0)+1))</f>
        <v/>
      </c>
      <c r="D102" s="418"/>
      <c r="E102" s="420" t="str">
        <f>IF($B101="","",IF($B101+1&gt;'Qredits maandlasten'!$C$7,"",F101+1))</f>
        <v/>
      </c>
      <c r="F102" s="420" t="str">
        <f>IF($B101="","",IF($B101+1&gt;'Qredits maandlasten'!$C$7,"",EOMONTH(C102,-1)))</f>
        <v/>
      </c>
      <c r="G102" s="421" t="str">
        <f>IF($B101="","",IF($B101+1&gt;'Qredits maandlasten'!$C$7,"",(_xlfn.DAYS(F102,E102)+1)/DAY(F102)))</f>
        <v/>
      </c>
      <c r="H102" s="422"/>
      <c r="I102" s="423" t="str">
        <f>IF($B101="","",IF($B101+1&gt;'Qredits maandlasten'!$C$7,"",I101-J101))</f>
        <v/>
      </c>
      <c r="J102" s="423" t="str">
        <f>IF($B101="","",IF($B101+1&gt;'Qredits maandlasten'!$C$7,"",IF(B101&lt;'Investering &amp; Financiering'!$E$52-1,0,IF('Qredits maandlasten'!$C$10="Lineair",'Qredits maandlasten'!$H$4,IF('Qredits maandlasten'!$C$10="Annuïteit",IFERROR('Qredits maandlasten'!$H$4-K102,0),0)))))</f>
        <v/>
      </c>
      <c r="K102" s="423" t="str">
        <f>IF($B101="","",IF($B101+1&gt;'Qredits maandlasten'!$C$7,"",G102*I102*'Qredits maandlasten'!$C$8/12))</f>
        <v/>
      </c>
      <c r="L102" s="423" t="str">
        <f t="shared" si="7"/>
        <v/>
      </c>
      <c r="M102" s="423" t="str">
        <f t="shared" si="5"/>
        <v/>
      </c>
      <c r="N102" s="422"/>
      <c r="O102" s="424" t="str">
        <f>IF($B102="","",'Qredits maandlasten'!$C$8/12)</f>
        <v/>
      </c>
      <c r="P102" s="424" t="str">
        <f>IF($B102="","",'Qredits maandlasten'!$C$8/12*(POWER(1+'Qredits maandlasten'!$C$8/12,$B102-1+1)))</f>
        <v/>
      </c>
      <c r="Q102" s="424" t="str">
        <f t="shared" si="8"/>
        <v/>
      </c>
      <c r="R102" s="422"/>
      <c r="S102" s="423" t="str">
        <f t="shared" si="6"/>
        <v/>
      </c>
      <c r="T102" s="423" t="str">
        <f>IF(S102="","",J102/(POWER(1+'Qredits maandlasten'!$C$8/12,$B102-1+1)))</f>
        <v/>
      </c>
      <c r="U102" s="425" t="str">
        <f t="shared" si="9"/>
        <v/>
      </c>
      <c r="V102" s="423" t="str">
        <f>IF($B102="","",K102/(POWER(1+'Qredits maandlasten'!$C$8/12,$B102-1+1)))</f>
        <v/>
      </c>
      <c r="W102" s="422"/>
    </row>
    <row r="103" spans="1:23" s="427" customFormat="1" x14ac:dyDescent="0.2">
      <c r="A103" s="418"/>
      <c r="B103" s="419" t="str">
        <f>IF($B102="","",IF($B102+1&gt;'Qredits maandlasten'!$C$7,"",Schema!B102+1))</f>
        <v/>
      </c>
      <c r="C103" s="420" t="str">
        <f>IF($B102="","",IF($B102+1&gt;'Qredits maandlasten'!$C$7,"",EOMONTH(C102,0)+1))</f>
        <v/>
      </c>
      <c r="D103" s="418"/>
      <c r="E103" s="420" t="str">
        <f>IF($B102="","",IF($B102+1&gt;'Qredits maandlasten'!$C$7,"",F102+1))</f>
        <v/>
      </c>
      <c r="F103" s="420" t="str">
        <f>IF($B102="","",IF($B102+1&gt;'Qredits maandlasten'!$C$7,"",EOMONTH(C103,-1)))</f>
        <v/>
      </c>
      <c r="G103" s="421" t="str">
        <f>IF($B102="","",IF($B102+1&gt;'Qredits maandlasten'!$C$7,"",(_xlfn.DAYS(F103,E103)+1)/DAY(F103)))</f>
        <v/>
      </c>
      <c r="H103" s="422"/>
      <c r="I103" s="423" t="str">
        <f>IF($B102="","",IF($B102+1&gt;'Qredits maandlasten'!$C$7,"",I102-J102))</f>
        <v/>
      </c>
      <c r="J103" s="423" t="str">
        <f>IF($B102="","",IF($B102+1&gt;'Qredits maandlasten'!$C$7,"",IF(B102&lt;'Investering &amp; Financiering'!$E$52-1,0,IF('Qredits maandlasten'!$C$10="Lineair",'Qredits maandlasten'!$H$4,IF('Qredits maandlasten'!$C$10="Annuïteit",IFERROR('Qredits maandlasten'!$H$4-K103,0),0)))))</f>
        <v/>
      </c>
      <c r="K103" s="423" t="str">
        <f>IF($B102="","",IF($B102+1&gt;'Qredits maandlasten'!$C$7,"",G103*I103*'Qredits maandlasten'!$C$8/12))</f>
        <v/>
      </c>
      <c r="L103" s="423" t="str">
        <f t="shared" si="7"/>
        <v/>
      </c>
      <c r="M103" s="423" t="str">
        <f t="shared" si="5"/>
        <v/>
      </c>
      <c r="N103" s="422"/>
      <c r="O103" s="424" t="str">
        <f>IF($B103="","",'Qredits maandlasten'!$C$8/12)</f>
        <v/>
      </c>
      <c r="P103" s="424" t="str">
        <f>IF($B103="","",'Qredits maandlasten'!$C$8/12*(POWER(1+'Qredits maandlasten'!$C$8/12,$B103-1+1)))</f>
        <v/>
      </c>
      <c r="Q103" s="424" t="str">
        <f t="shared" si="8"/>
        <v/>
      </c>
      <c r="R103" s="422"/>
      <c r="S103" s="423" t="str">
        <f t="shared" si="6"/>
        <v/>
      </c>
      <c r="T103" s="423" t="str">
        <f>IF(S103="","",J103/(POWER(1+'Qredits maandlasten'!$C$8/12,$B103-1+1)))</f>
        <v/>
      </c>
      <c r="U103" s="425" t="str">
        <f t="shared" si="9"/>
        <v/>
      </c>
      <c r="V103" s="423" t="str">
        <f>IF($B103="","",K103/(POWER(1+'Qredits maandlasten'!$C$8/12,$B103-1+1)))</f>
        <v/>
      </c>
      <c r="W103" s="422"/>
    </row>
    <row r="104" spans="1:23" s="427" customFormat="1" x14ac:dyDescent="0.2">
      <c r="A104" s="418"/>
      <c r="B104" s="419" t="str">
        <f>IF($B103="","",IF($B103+1&gt;'Qredits maandlasten'!$C$7,"",Schema!B103+1))</f>
        <v/>
      </c>
      <c r="C104" s="420" t="str">
        <f>IF($B103="","",IF($B103+1&gt;'Qredits maandlasten'!$C$7,"",EOMONTH(C103,0)+1))</f>
        <v/>
      </c>
      <c r="D104" s="418"/>
      <c r="E104" s="420" t="str">
        <f>IF($B103="","",IF($B103+1&gt;'Qredits maandlasten'!$C$7,"",F103+1))</f>
        <v/>
      </c>
      <c r="F104" s="420" t="str">
        <f>IF($B103="","",IF($B103+1&gt;'Qredits maandlasten'!$C$7,"",EOMONTH(C104,-1)))</f>
        <v/>
      </c>
      <c r="G104" s="421" t="str">
        <f>IF($B103="","",IF($B103+1&gt;'Qredits maandlasten'!$C$7,"",(_xlfn.DAYS(F104,E104)+1)/DAY(F104)))</f>
        <v/>
      </c>
      <c r="H104" s="422"/>
      <c r="I104" s="423" t="str">
        <f>IF($B103="","",IF($B103+1&gt;'Qredits maandlasten'!$C$7,"",I103-J103))</f>
        <v/>
      </c>
      <c r="J104" s="423" t="str">
        <f>IF($B103="","",IF($B103+1&gt;'Qredits maandlasten'!$C$7,"",IF(B103&lt;'Investering &amp; Financiering'!$E$52-1,0,IF('Qredits maandlasten'!$C$10="Lineair",'Qredits maandlasten'!$H$4,IF('Qredits maandlasten'!$C$10="Annuïteit",IFERROR('Qredits maandlasten'!$H$4-K104,0),0)))))</f>
        <v/>
      </c>
      <c r="K104" s="423" t="str">
        <f>IF($B103="","",IF($B103+1&gt;'Qredits maandlasten'!$C$7,"",G104*I104*'Qredits maandlasten'!$C$8/12))</f>
        <v/>
      </c>
      <c r="L104" s="423" t="str">
        <f t="shared" si="7"/>
        <v/>
      </c>
      <c r="M104" s="423" t="str">
        <f t="shared" si="5"/>
        <v/>
      </c>
      <c r="N104" s="422"/>
      <c r="O104" s="424" t="str">
        <f>IF($B104="","",'Qredits maandlasten'!$C$8/12)</f>
        <v/>
      </c>
      <c r="P104" s="424" t="str">
        <f>IF($B104="","",'Qredits maandlasten'!$C$8/12*(POWER(1+'Qredits maandlasten'!$C$8/12,$B104-1+1)))</f>
        <v/>
      </c>
      <c r="Q104" s="424" t="str">
        <f t="shared" si="8"/>
        <v/>
      </c>
      <c r="R104" s="422"/>
      <c r="S104" s="423" t="str">
        <f t="shared" si="6"/>
        <v/>
      </c>
      <c r="T104" s="423" t="str">
        <f>IF(S104="","",J104/(POWER(1+'Qredits maandlasten'!$C$8/12,$B104-1+1)))</f>
        <v/>
      </c>
      <c r="U104" s="425" t="str">
        <f t="shared" si="9"/>
        <v/>
      </c>
      <c r="V104" s="423" t="str">
        <f>IF($B104="","",K104/(POWER(1+'Qredits maandlasten'!$C$8/12,$B104-1+1)))</f>
        <v/>
      </c>
      <c r="W104" s="422"/>
    </row>
    <row r="105" spans="1:23" s="427" customFormat="1" x14ac:dyDescent="0.2">
      <c r="A105" s="418"/>
      <c r="B105" s="419" t="str">
        <f>IF($B104="","",IF($B104+1&gt;'Qredits maandlasten'!$C$7,"",Schema!B104+1))</f>
        <v/>
      </c>
      <c r="C105" s="420" t="str">
        <f>IF($B104="","",IF($B104+1&gt;'Qredits maandlasten'!$C$7,"",EOMONTH(C104,0)+1))</f>
        <v/>
      </c>
      <c r="D105" s="418"/>
      <c r="E105" s="420" t="str">
        <f>IF($B104="","",IF($B104+1&gt;'Qredits maandlasten'!$C$7,"",F104+1))</f>
        <v/>
      </c>
      <c r="F105" s="420" t="str">
        <f>IF($B104="","",IF($B104+1&gt;'Qredits maandlasten'!$C$7,"",EOMONTH(C105,-1)))</f>
        <v/>
      </c>
      <c r="G105" s="421" t="str">
        <f>IF($B104="","",IF($B104+1&gt;'Qredits maandlasten'!$C$7,"",(_xlfn.DAYS(F105,E105)+1)/DAY(F105)))</f>
        <v/>
      </c>
      <c r="H105" s="422"/>
      <c r="I105" s="423" t="str">
        <f>IF($B104="","",IF($B104+1&gt;'Qredits maandlasten'!$C$7,"",I104-J104))</f>
        <v/>
      </c>
      <c r="J105" s="423" t="str">
        <f>IF($B104="","",IF($B104+1&gt;'Qredits maandlasten'!$C$7,"",IF(B104&lt;'Investering &amp; Financiering'!$E$52-1,0,IF('Qredits maandlasten'!$C$10="Lineair",'Qredits maandlasten'!$H$4,IF('Qredits maandlasten'!$C$10="Annuïteit",IFERROR('Qredits maandlasten'!$H$4-K105,0),0)))))</f>
        <v/>
      </c>
      <c r="K105" s="423" t="str">
        <f>IF($B104="","",IF($B104+1&gt;'Qredits maandlasten'!$C$7,"",G105*I105*'Qredits maandlasten'!$C$8/12))</f>
        <v/>
      </c>
      <c r="L105" s="423" t="str">
        <f t="shared" si="7"/>
        <v/>
      </c>
      <c r="M105" s="423" t="str">
        <f t="shared" si="5"/>
        <v/>
      </c>
      <c r="N105" s="422"/>
      <c r="O105" s="424" t="str">
        <f>IF($B105="","",'Qredits maandlasten'!$C$8/12)</f>
        <v/>
      </c>
      <c r="P105" s="424" t="str">
        <f>IF($B105="","",'Qredits maandlasten'!$C$8/12*(POWER(1+'Qredits maandlasten'!$C$8/12,$B105-1+1)))</f>
        <v/>
      </c>
      <c r="Q105" s="424" t="str">
        <f t="shared" si="8"/>
        <v/>
      </c>
      <c r="R105" s="422"/>
      <c r="S105" s="423" t="str">
        <f t="shared" si="6"/>
        <v/>
      </c>
      <c r="T105" s="423" t="str">
        <f>IF(S105="","",J105/(POWER(1+'Qredits maandlasten'!$C$8/12,$B105-1+1)))</f>
        <v/>
      </c>
      <c r="U105" s="425" t="str">
        <f t="shared" si="9"/>
        <v/>
      </c>
      <c r="V105" s="423" t="str">
        <f>IF($B105="","",K105/(POWER(1+'Qredits maandlasten'!$C$8/12,$B105-1+1)))</f>
        <v/>
      </c>
      <c r="W105" s="422"/>
    </row>
    <row r="106" spans="1:23" s="427" customFormat="1" x14ac:dyDescent="0.2">
      <c r="A106" s="418"/>
      <c r="B106" s="419" t="str">
        <f>IF($B105="","",IF($B105+1&gt;'Qredits maandlasten'!$C$7,"",Schema!B105+1))</f>
        <v/>
      </c>
      <c r="C106" s="420" t="str">
        <f>IF($B105="","",IF($B105+1&gt;'Qredits maandlasten'!$C$7,"",EOMONTH(C105,0)+1))</f>
        <v/>
      </c>
      <c r="D106" s="418"/>
      <c r="E106" s="420" t="str">
        <f>IF($B105="","",IF($B105+1&gt;'Qredits maandlasten'!$C$7,"",F105+1))</f>
        <v/>
      </c>
      <c r="F106" s="420" t="str">
        <f>IF($B105="","",IF($B105+1&gt;'Qredits maandlasten'!$C$7,"",EOMONTH(C106,-1)))</f>
        <v/>
      </c>
      <c r="G106" s="421" t="str">
        <f>IF($B105="","",IF($B105+1&gt;'Qredits maandlasten'!$C$7,"",(_xlfn.DAYS(F106,E106)+1)/DAY(F106)))</f>
        <v/>
      </c>
      <c r="H106" s="422"/>
      <c r="I106" s="423" t="str">
        <f>IF($B105="","",IF($B105+1&gt;'Qredits maandlasten'!$C$7,"",I105-J105))</f>
        <v/>
      </c>
      <c r="J106" s="423" t="str">
        <f>IF($B105="","",IF($B105+1&gt;'Qredits maandlasten'!$C$7,"",IF(B105&lt;'Investering &amp; Financiering'!$E$52-1,0,IF('Qredits maandlasten'!$C$10="Lineair",'Qredits maandlasten'!$H$4,IF('Qredits maandlasten'!$C$10="Annuïteit",IFERROR('Qredits maandlasten'!$H$4-K106,0),0)))))</f>
        <v/>
      </c>
      <c r="K106" s="423" t="str">
        <f>IF($B105="","",IF($B105+1&gt;'Qredits maandlasten'!$C$7,"",G106*I106*'Qredits maandlasten'!$C$8/12))</f>
        <v/>
      </c>
      <c r="L106" s="423" t="str">
        <f t="shared" si="7"/>
        <v/>
      </c>
      <c r="M106" s="423" t="str">
        <f t="shared" si="5"/>
        <v/>
      </c>
      <c r="N106" s="422"/>
      <c r="O106" s="424" t="str">
        <f>IF($B106="","",'Qredits maandlasten'!$C$8/12)</f>
        <v/>
      </c>
      <c r="P106" s="424" t="str">
        <f>IF($B106="","",'Qredits maandlasten'!$C$8/12*(POWER(1+'Qredits maandlasten'!$C$8/12,$B106-1+1)))</f>
        <v/>
      </c>
      <c r="Q106" s="424" t="str">
        <f t="shared" si="8"/>
        <v/>
      </c>
      <c r="R106" s="422"/>
      <c r="S106" s="423" t="str">
        <f t="shared" si="6"/>
        <v/>
      </c>
      <c r="T106" s="423" t="str">
        <f>IF(S106="","",J106/(POWER(1+'Qredits maandlasten'!$C$8/12,$B106-1+1)))</f>
        <v/>
      </c>
      <c r="U106" s="425" t="str">
        <f t="shared" si="9"/>
        <v/>
      </c>
      <c r="V106" s="423" t="str">
        <f>IF($B106="","",K106/(POWER(1+'Qredits maandlasten'!$C$8/12,$B106-1+1)))</f>
        <v/>
      </c>
      <c r="W106" s="422"/>
    </row>
    <row r="107" spans="1:23" s="427" customFormat="1" x14ac:dyDescent="0.2">
      <c r="A107" s="418"/>
      <c r="B107" s="419" t="str">
        <f>IF($B106="","",IF($B106+1&gt;'Qredits maandlasten'!$C$7,"",Schema!B106+1))</f>
        <v/>
      </c>
      <c r="C107" s="420" t="str">
        <f>IF($B106="","",IF($B106+1&gt;'Qredits maandlasten'!$C$7,"",EOMONTH(C106,0)+1))</f>
        <v/>
      </c>
      <c r="D107" s="418"/>
      <c r="E107" s="420" t="str">
        <f>IF($B106="","",IF($B106+1&gt;'Qredits maandlasten'!$C$7,"",F106+1))</f>
        <v/>
      </c>
      <c r="F107" s="420" t="str">
        <f>IF($B106="","",IF($B106+1&gt;'Qredits maandlasten'!$C$7,"",EOMONTH(C107,-1)))</f>
        <v/>
      </c>
      <c r="G107" s="421" t="str">
        <f>IF($B106="","",IF($B106+1&gt;'Qredits maandlasten'!$C$7,"",(_xlfn.DAYS(F107,E107)+1)/DAY(F107)))</f>
        <v/>
      </c>
      <c r="H107" s="422"/>
      <c r="I107" s="423" t="str">
        <f>IF($B106="","",IF($B106+1&gt;'Qredits maandlasten'!$C$7,"",I106-J106))</f>
        <v/>
      </c>
      <c r="J107" s="423" t="str">
        <f>IF($B106="","",IF($B106+1&gt;'Qredits maandlasten'!$C$7,"",IF(B106&lt;'Investering &amp; Financiering'!$E$52-1,0,IF('Qredits maandlasten'!$C$10="Lineair",'Qredits maandlasten'!$H$4,IF('Qredits maandlasten'!$C$10="Annuïteit",IFERROR('Qredits maandlasten'!$H$4-K107,0),0)))))</f>
        <v/>
      </c>
      <c r="K107" s="423" t="str">
        <f>IF($B106="","",IF($B106+1&gt;'Qredits maandlasten'!$C$7,"",G107*I107*'Qredits maandlasten'!$C$8/12))</f>
        <v/>
      </c>
      <c r="L107" s="423" t="str">
        <f t="shared" si="7"/>
        <v/>
      </c>
      <c r="M107" s="423" t="str">
        <f t="shared" si="5"/>
        <v/>
      </c>
      <c r="N107" s="422"/>
      <c r="O107" s="424" t="str">
        <f>IF($B107="","",'Qredits maandlasten'!$C$8/12)</f>
        <v/>
      </c>
      <c r="P107" s="424" t="str">
        <f>IF($B107="","",'Qredits maandlasten'!$C$8/12*(POWER(1+'Qredits maandlasten'!$C$8/12,$B107-1+1)))</f>
        <v/>
      </c>
      <c r="Q107" s="424" t="str">
        <f t="shared" si="8"/>
        <v/>
      </c>
      <c r="R107" s="422"/>
      <c r="S107" s="423" t="str">
        <f t="shared" si="6"/>
        <v/>
      </c>
      <c r="T107" s="423" t="str">
        <f>IF(S107="","",J107/(POWER(1+'Qredits maandlasten'!$C$8/12,$B107-1+1)))</f>
        <v/>
      </c>
      <c r="U107" s="425" t="str">
        <f t="shared" si="9"/>
        <v/>
      </c>
      <c r="V107" s="423" t="str">
        <f>IF($B107="","",K107/(POWER(1+'Qredits maandlasten'!$C$8/12,$B107-1+1)))</f>
        <v/>
      </c>
      <c r="W107" s="422"/>
    </row>
    <row r="108" spans="1:23" s="427" customFormat="1" x14ac:dyDescent="0.2">
      <c r="A108" s="418"/>
      <c r="B108" s="419" t="str">
        <f>IF($B107="","",IF($B107+1&gt;'Qredits maandlasten'!$C$7,"",Schema!B107+1))</f>
        <v/>
      </c>
      <c r="C108" s="420" t="str">
        <f>IF($B107="","",IF($B107+1&gt;'Qredits maandlasten'!$C$7,"",EOMONTH(C107,0)+1))</f>
        <v/>
      </c>
      <c r="D108" s="418"/>
      <c r="E108" s="420" t="str">
        <f>IF($B107="","",IF($B107+1&gt;'Qredits maandlasten'!$C$7,"",F107+1))</f>
        <v/>
      </c>
      <c r="F108" s="420" t="str">
        <f>IF($B107="","",IF($B107+1&gt;'Qredits maandlasten'!$C$7,"",EOMONTH(C108,-1)))</f>
        <v/>
      </c>
      <c r="G108" s="421" t="str">
        <f>IF($B107="","",IF($B107+1&gt;'Qredits maandlasten'!$C$7,"",(_xlfn.DAYS(F108,E108)+1)/DAY(F108)))</f>
        <v/>
      </c>
      <c r="H108" s="422"/>
      <c r="I108" s="423" t="str">
        <f>IF($B107="","",IF($B107+1&gt;'Qredits maandlasten'!$C$7,"",I107-J107))</f>
        <v/>
      </c>
      <c r="J108" s="423" t="str">
        <f>IF($B107="","",IF($B107+1&gt;'Qredits maandlasten'!$C$7,"",IF(B107&lt;'Investering &amp; Financiering'!$E$52-1,0,IF('Qredits maandlasten'!$C$10="Lineair",'Qredits maandlasten'!$H$4,IF('Qredits maandlasten'!$C$10="Annuïteit",IFERROR('Qredits maandlasten'!$H$4-K108,0),0)))))</f>
        <v/>
      </c>
      <c r="K108" s="423" t="str">
        <f>IF($B107="","",IF($B107+1&gt;'Qredits maandlasten'!$C$7,"",G108*I108*'Qredits maandlasten'!$C$8/12))</f>
        <v/>
      </c>
      <c r="L108" s="423" t="str">
        <f t="shared" si="7"/>
        <v/>
      </c>
      <c r="M108" s="423" t="str">
        <f t="shared" si="5"/>
        <v/>
      </c>
      <c r="N108" s="422"/>
      <c r="O108" s="424" t="str">
        <f>IF($B108="","",'Qredits maandlasten'!$C$8/12)</f>
        <v/>
      </c>
      <c r="P108" s="424" t="str">
        <f>IF($B108="","",'Qredits maandlasten'!$C$8/12*(POWER(1+'Qredits maandlasten'!$C$8/12,$B108-1+1)))</f>
        <v/>
      </c>
      <c r="Q108" s="424" t="str">
        <f t="shared" si="8"/>
        <v/>
      </c>
      <c r="R108" s="422"/>
      <c r="S108" s="423" t="str">
        <f t="shared" si="6"/>
        <v/>
      </c>
      <c r="T108" s="423" t="str">
        <f>IF(S108="","",J108/(POWER(1+'Qredits maandlasten'!$C$8/12,$B108-1+1)))</f>
        <v/>
      </c>
      <c r="U108" s="425" t="str">
        <f t="shared" si="9"/>
        <v/>
      </c>
      <c r="V108" s="423" t="str">
        <f>IF($B108="","",K108/(POWER(1+'Qredits maandlasten'!$C$8/12,$B108-1+1)))</f>
        <v/>
      </c>
      <c r="W108" s="422"/>
    </row>
    <row r="109" spans="1:23" s="427" customFormat="1" x14ac:dyDescent="0.2">
      <c r="A109" s="418"/>
      <c r="B109" s="419" t="str">
        <f>IF($B108="","",IF($B108+1&gt;'Qredits maandlasten'!$C$7,"",Schema!B108+1))</f>
        <v/>
      </c>
      <c r="C109" s="420" t="str">
        <f>IF($B108="","",IF($B108+1&gt;'Qredits maandlasten'!$C$7,"",EOMONTH(C108,0)+1))</f>
        <v/>
      </c>
      <c r="D109" s="418"/>
      <c r="E109" s="420" t="str">
        <f>IF($B108="","",IF($B108+1&gt;'Qredits maandlasten'!$C$7,"",F108+1))</f>
        <v/>
      </c>
      <c r="F109" s="420" t="str">
        <f>IF($B108="","",IF($B108+1&gt;'Qredits maandlasten'!$C$7,"",EOMONTH(C109,-1)))</f>
        <v/>
      </c>
      <c r="G109" s="421" t="str">
        <f>IF($B108="","",IF($B108+1&gt;'Qredits maandlasten'!$C$7,"",(_xlfn.DAYS(F109,E109)+1)/DAY(F109)))</f>
        <v/>
      </c>
      <c r="H109" s="422"/>
      <c r="I109" s="423" t="str">
        <f>IF($B108="","",IF($B108+1&gt;'Qredits maandlasten'!$C$7,"",I108-J108))</f>
        <v/>
      </c>
      <c r="J109" s="423" t="str">
        <f>IF($B108="","",IF($B108+1&gt;'Qredits maandlasten'!$C$7,"",IF(B108&lt;'Investering &amp; Financiering'!$E$52-1,0,IF('Qredits maandlasten'!$C$10="Lineair",'Qredits maandlasten'!$H$4,IF('Qredits maandlasten'!$C$10="Annuïteit",IFERROR('Qredits maandlasten'!$H$4-K109,0),0)))))</f>
        <v/>
      </c>
      <c r="K109" s="423" t="str">
        <f>IF($B108="","",IF($B108+1&gt;'Qredits maandlasten'!$C$7,"",G109*I109*'Qredits maandlasten'!$C$8/12))</f>
        <v/>
      </c>
      <c r="L109" s="423" t="str">
        <f t="shared" si="7"/>
        <v/>
      </c>
      <c r="M109" s="423" t="str">
        <f t="shared" si="5"/>
        <v/>
      </c>
      <c r="N109" s="422"/>
      <c r="O109" s="424" t="str">
        <f>IF($B109="","",'Qredits maandlasten'!$C$8/12)</f>
        <v/>
      </c>
      <c r="P109" s="424" t="str">
        <f>IF($B109="","",'Qredits maandlasten'!$C$8/12*(POWER(1+'Qredits maandlasten'!$C$8/12,$B109-1+1)))</f>
        <v/>
      </c>
      <c r="Q109" s="424" t="str">
        <f t="shared" si="8"/>
        <v/>
      </c>
      <c r="R109" s="422"/>
      <c r="S109" s="423" t="str">
        <f t="shared" si="6"/>
        <v/>
      </c>
      <c r="T109" s="423" t="str">
        <f>IF(S109="","",J109/(POWER(1+'Qredits maandlasten'!$C$8/12,$B109-1+1)))</f>
        <v/>
      </c>
      <c r="U109" s="425" t="str">
        <f t="shared" si="9"/>
        <v/>
      </c>
      <c r="V109" s="423" t="str">
        <f>IF($B109="","",K109/(POWER(1+'Qredits maandlasten'!$C$8/12,$B109-1+1)))</f>
        <v/>
      </c>
      <c r="W109" s="422"/>
    </row>
    <row r="110" spans="1:23" s="427" customFormat="1" x14ac:dyDescent="0.2">
      <c r="A110" s="418"/>
      <c r="B110" s="419" t="str">
        <f>IF($B109="","",IF($B109+1&gt;'Qredits maandlasten'!$C$7,"",Schema!B109+1))</f>
        <v/>
      </c>
      <c r="C110" s="420" t="str">
        <f>IF($B109="","",IF($B109+1&gt;'Qredits maandlasten'!$C$7,"",EOMONTH(C109,0)+1))</f>
        <v/>
      </c>
      <c r="D110" s="418"/>
      <c r="E110" s="420" t="str">
        <f>IF($B109="","",IF($B109+1&gt;'Qredits maandlasten'!$C$7,"",F109+1))</f>
        <v/>
      </c>
      <c r="F110" s="420" t="str">
        <f>IF($B109="","",IF($B109+1&gt;'Qredits maandlasten'!$C$7,"",EOMONTH(C110,-1)))</f>
        <v/>
      </c>
      <c r="G110" s="421" t="str">
        <f>IF($B109="","",IF($B109+1&gt;'Qredits maandlasten'!$C$7,"",(_xlfn.DAYS(F110,E110)+1)/DAY(F110)))</f>
        <v/>
      </c>
      <c r="H110" s="422"/>
      <c r="I110" s="423" t="str">
        <f>IF($B109="","",IF($B109+1&gt;'Qredits maandlasten'!$C$7,"",I109-J109))</f>
        <v/>
      </c>
      <c r="J110" s="423" t="str">
        <f>IF($B109="","",IF($B109+1&gt;'Qredits maandlasten'!$C$7,"",IF(B109&lt;'Investering &amp; Financiering'!$E$52-1,0,IF('Qredits maandlasten'!$C$10="Lineair",'Qredits maandlasten'!$H$4,IF('Qredits maandlasten'!$C$10="Annuïteit",IFERROR('Qredits maandlasten'!$H$4-K110,0),0)))))</f>
        <v/>
      </c>
      <c r="K110" s="423" t="str">
        <f>IF($B109="","",IF($B109+1&gt;'Qredits maandlasten'!$C$7,"",G110*I110*'Qredits maandlasten'!$C$8/12))</f>
        <v/>
      </c>
      <c r="L110" s="423" t="str">
        <f t="shared" si="7"/>
        <v/>
      </c>
      <c r="M110" s="423" t="str">
        <f t="shared" si="5"/>
        <v/>
      </c>
      <c r="N110" s="422"/>
      <c r="O110" s="424" t="str">
        <f>IF($B110="","",'Qredits maandlasten'!$C$8/12)</f>
        <v/>
      </c>
      <c r="P110" s="424" t="str">
        <f>IF($B110="","",'Qredits maandlasten'!$C$8/12*(POWER(1+'Qredits maandlasten'!$C$8/12,$B110-1+1)))</f>
        <v/>
      </c>
      <c r="Q110" s="424" t="str">
        <f t="shared" si="8"/>
        <v/>
      </c>
      <c r="R110" s="422"/>
      <c r="S110" s="423" t="str">
        <f t="shared" si="6"/>
        <v/>
      </c>
      <c r="T110" s="423" t="str">
        <f>IF(S110="","",J110/(POWER(1+'Qredits maandlasten'!$C$8/12,$B110-1+1)))</f>
        <v/>
      </c>
      <c r="U110" s="425" t="str">
        <f t="shared" si="9"/>
        <v/>
      </c>
      <c r="V110" s="423" t="str">
        <f>IF($B110="","",K110/(POWER(1+'Qredits maandlasten'!$C$8/12,$B110-1+1)))</f>
        <v/>
      </c>
      <c r="W110" s="422"/>
    </row>
    <row r="111" spans="1:23" s="427" customFormat="1" x14ac:dyDescent="0.2">
      <c r="A111" s="418"/>
      <c r="B111" s="419" t="str">
        <f>IF($B110="","",IF($B110+1&gt;'Qredits maandlasten'!$C$7,"",Schema!B110+1))</f>
        <v/>
      </c>
      <c r="C111" s="420" t="str">
        <f>IF($B110="","",IF($B110+1&gt;'Qredits maandlasten'!$C$7,"",EOMONTH(C110,0)+1))</f>
        <v/>
      </c>
      <c r="D111" s="418"/>
      <c r="E111" s="420" t="str">
        <f>IF($B110="","",IF($B110+1&gt;'Qredits maandlasten'!$C$7,"",F110+1))</f>
        <v/>
      </c>
      <c r="F111" s="420" t="str">
        <f>IF($B110="","",IF($B110+1&gt;'Qredits maandlasten'!$C$7,"",EOMONTH(C111,-1)))</f>
        <v/>
      </c>
      <c r="G111" s="421" t="str">
        <f>IF($B110="","",IF($B110+1&gt;'Qredits maandlasten'!$C$7,"",(_xlfn.DAYS(F111,E111)+1)/DAY(F111)))</f>
        <v/>
      </c>
      <c r="H111" s="422"/>
      <c r="I111" s="423" t="str">
        <f>IF($B110="","",IF($B110+1&gt;'Qredits maandlasten'!$C$7,"",I110-J110))</f>
        <v/>
      </c>
      <c r="J111" s="423" t="str">
        <f>IF($B110="","",IF($B110+1&gt;'Qredits maandlasten'!$C$7,"",IF(B110&lt;'Investering &amp; Financiering'!$E$52-1,0,IF('Qredits maandlasten'!$C$10="Lineair",'Qredits maandlasten'!$H$4,IF('Qredits maandlasten'!$C$10="Annuïteit",IFERROR('Qredits maandlasten'!$H$4-K111,0),0)))))</f>
        <v/>
      </c>
      <c r="K111" s="423" t="str">
        <f>IF($B110="","",IF($B110+1&gt;'Qredits maandlasten'!$C$7,"",G111*I111*'Qredits maandlasten'!$C$8/12))</f>
        <v/>
      </c>
      <c r="L111" s="423" t="str">
        <f t="shared" si="7"/>
        <v/>
      </c>
      <c r="M111" s="423" t="str">
        <f t="shared" si="5"/>
        <v/>
      </c>
      <c r="N111" s="422"/>
      <c r="O111" s="424" t="str">
        <f>IF($B111="","",'Qredits maandlasten'!$C$8/12)</f>
        <v/>
      </c>
      <c r="P111" s="424" t="str">
        <f>IF($B111="","",'Qredits maandlasten'!$C$8/12*(POWER(1+'Qredits maandlasten'!$C$8/12,$B111-1+1)))</f>
        <v/>
      </c>
      <c r="Q111" s="424" t="str">
        <f t="shared" si="8"/>
        <v/>
      </c>
      <c r="R111" s="422"/>
      <c r="S111" s="423" t="str">
        <f t="shared" si="6"/>
        <v/>
      </c>
      <c r="T111" s="423" t="str">
        <f>IF(S111="","",J111/(POWER(1+'Qredits maandlasten'!$C$8/12,$B111-1+1)))</f>
        <v/>
      </c>
      <c r="U111" s="425" t="str">
        <f t="shared" si="9"/>
        <v/>
      </c>
      <c r="V111" s="423" t="str">
        <f>IF($B111="","",K111/(POWER(1+'Qredits maandlasten'!$C$8/12,$B111-1+1)))</f>
        <v/>
      </c>
      <c r="W111" s="422"/>
    </row>
    <row r="112" spans="1:23" s="427" customFormat="1" x14ac:dyDescent="0.2">
      <c r="A112" s="418"/>
      <c r="B112" s="419" t="str">
        <f>IF($B111="","",IF($B111+1&gt;'Qredits maandlasten'!$C$7,"",Schema!B111+1))</f>
        <v/>
      </c>
      <c r="C112" s="420" t="str">
        <f>IF($B111="","",IF($B111+1&gt;'Qredits maandlasten'!$C$7,"",EOMONTH(C111,0)+1))</f>
        <v/>
      </c>
      <c r="D112" s="418"/>
      <c r="E112" s="420" t="str">
        <f>IF($B111="","",IF($B111+1&gt;'Qredits maandlasten'!$C$7,"",F111+1))</f>
        <v/>
      </c>
      <c r="F112" s="420" t="str">
        <f>IF($B111="","",IF($B111+1&gt;'Qredits maandlasten'!$C$7,"",EOMONTH(C112,-1)))</f>
        <v/>
      </c>
      <c r="G112" s="421" t="str">
        <f>IF($B111="","",IF($B111+1&gt;'Qredits maandlasten'!$C$7,"",(_xlfn.DAYS(F112,E112)+1)/DAY(F112)))</f>
        <v/>
      </c>
      <c r="H112" s="422"/>
      <c r="I112" s="423" t="str">
        <f>IF($B111="","",IF($B111+1&gt;'Qredits maandlasten'!$C$7,"",I111-J111))</f>
        <v/>
      </c>
      <c r="J112" s="423" t="str">
        <f>IF($B111="","",IF($B111+1&gt;'Qredits maandlasten'!$C$7,"",IF(B111&lt;'Investering &amp; Financiering'!$E$52-1,0,IF('Qredits maandlasten'!$C$10="Lineair",'Qredits maandlasten'!$H$4,IF('Qredits maandlasten'!$C$10="Annuïteit",IFERROR('Qredits maandlasten'!$H$4-K112,0),0)))))</f>
        <v/>
      </c>
      <c r="K112" s="423" t="str">
        <f>IF($B111="","",IF($B111+1&gt;'Qredits maandlasten'!$C$7,"",G112*I112*'Qredits maandlasten'!$C$8/12))</f>
        <v/>
      </c>
      <c r="L112" s="423" t="str">
        <f t="shared" si="7"/>
        <v/>
      </c>
      <c r="M112" s="423" t="str">
        <f t="shared" si="5"/>
        <v/>
      </c>
      <c r="N112" s="422"/>
      <c r="O112" s="424" t="str">
        <f>IF($B112="","",'Qredits maandlasten'!$C$8/12)</f>
        <v/>
      </c>
      <c r="P112" s="424" t="str">
        <f>IF($B112="","",'Qredits maandlasten'!$C$8/12*(POWER(1+'Qredits maandlasten'!$C$8/12,$B112-1+1)))</f>
        <v/>
      </c>
      <c r="Q112" s="424" t="str">
        <f t="shared" si="8"/>
        <v/>
      </c>
      <c r="R112" s="422"/>
      <c r="S112" s="423" t="str">
        <f t="shared" si="6"/>
        <v/>
      </c>
      <c r="T112" s="423" t="str">
        <f>IF(S112="","",J112/(POWER(1+'Qredits maandlasten'!$C$8/12,$B112-1+1)))</f>
        <v/>
      </c>
      <c r="U112" s="425" t="str">
        <f t="shared" si="9"/>
        <v/>
      </c>
      <c r="V112" s="423" t="str">
        <f>IF($B112="","",K112/(POWER(1+'Qredits maandlasten'!$C$8/12,$B112-1+1)))</f>
        <v/>
      </c>
      <c r="W112" s="422"/>
    </row>
    <row r="113" spans="1:23" s="427" customFormat="1" x14ac:dyDescent="0.2">
      <c r="A113" s="418"/>
      <c r="B113" s="419" t="str">
        <f>IF($B112="","",IF($B112+1&gt;'Qredits maandlasten'!$C$7,"",Schema!B112+1))</f>
        <v/>
      </c>
      <c r="C113" s="420" t="str">
        <f>IF($B112="","",IF($B112+1&gt;'Qredits maandlasten'!$C$7,"",EOMONTH(C112,0)+1))</f>
        <v/>
      </c>
      <c r="D113" s="418"/>
      <c r="E113" s="420" t="str">
        <f>IF($B112="","",IF($B112+1&gt;'Qredits maandlasten'!$C$7,"",F112+1))</f>
        <v/>
      </c>
      <c r="F113" s="420" t="str">
        <f>IF($B112="","",IF($B112+1&gt;'Qredits maandlasten'!$C$7,"",EOMONTH(C113,-1)))</f>
        <v/>
      </c>
      <c r="G113" s="421" t="str">
        <f>IF($B112="","",IF($B112+1&gt;'Qredits maandlasten'!$C$7,"",(_xlfn.DAYS(F113,E113)+1)/DAY(F113)))</f>
        <v/>
      </c>
      <c r="H113" s="422"/>
      <c r="I113" s="423" t="str">
        <f>IF($B112="","",IF($B112+1&gt;'Qredits maandlasten'!$C$7,"",I112-J112))</f>
        <v/>
      </c>
      <c r="J113" s="423" t="str">
        <f>IF($B112="","",IF($B112+1&gt;'Qredits maandlasten'!$C$7,"",IF(B112&lt;'Investering &amp; Financiering'!$E$52-1,0,IF('Qredits maandlasten'!$C$10="Lineair",'Qredits maandlasten'!$H$4,IF('Qredits maandlasten'!$C$10="Annuïteit",IFERROR('Qredits maandlasten'!$H$4-K113,0),0)))))</f>
        <v/>
      </c>
      <c r="K113" s="423" t="str">
        <f>IF($B112="","",IF($B112+1&gt;'Qredits maandlasten'!$C$7,"",G113*I113*'Qredits maandlasten'!$C$8/12))</f>
        <v/>
      </c>
      <c r="L113" s="423" t="str">
        <f t="shared" si="7"/>
        <v/>
      </c>
      <c r="M113" s="423" t="str">
        <f t="shared" si="5"/>
        <v/>
      </c>
      <c r="N113" s="422"/>
      <c r="O113" s="424" t="str">
        <f>IF($B113="","",'Qredits maandlasten'!$C$8/12)</f>
        <v/>
      </c>
      <c r="P113" s="424" t="str">
        <f>IF($B113="","",'Qredits maandlasten'!$C$8/12*(POWER(1+'Qredits maandlasten'!$C$8/12,$B113-1+1)))</f>
        <v/>
      </c>
      <c r="Q113" s="424" t="str">
        <f t="shared" si="8"/>
        <v/>
      </c>
      <c r="R113" s="422"/>
      <c r="S113" s="423" t="str">
        <f t="shared" si="6"/>
        <v/>
      </c>
      <c r="T113" s="423" t="str">
        <f>IF(S113="","",J113/(POWER(1+'Qredits maandlasten'!$C$8/12,$B113-1+1)))</f>
        <v/>
      </c>
      <c r="U113" s="425" t="str">
        <f t="shared" si="9"/>
        <v/>
      </c>
      <c r="V113" s="423" t="str">
        <f>IF($B113="","",K113/(POWER(1+'Qredits maandlasten'!$C$8/12,$B113-1+1)))</f>
        <v/>
      </c>
      <c r="W113" s="422"/>
    </row>
    <row r="114" spans="1:23" s="427" customFormat="1" x14ac:dyDescent="0.2">
      <c r="A114" s="418"/>
      <c r="B114" s="419" t="str">
        <f>IF($B113="","",IF($B113+1&gt;'Qredits maandlasten'!$C$7,"",Schema!B113+1))</f>
        <v/>
      </c>
      <c r="C114" s="420" t="str">
        <f>IF($B113="","",IF($B113+1&gt;'Qredits maandlasten'!$C$7,"",EOMONTH(C113,0)+1))</f>
        <v/>
      </c>
      <c r="D114" s="418"/>
      <c r="E114" s="420" t="str">
        <f>IF($B113="","",IF($B113+1&gt;'Qredits maandlasten'!$C$7,"",F113+1))</f>
        <v/>
      </c>
      <c r="F114" s="420" t="str">
        <f>IF($B113="","",IF($B113+1&gt;'Qredits maandlasten'!$C$7,"",EOMONTH(C114,-1)))</f>
        <v/>
      </c>
      <c r="G114" s="421" t="str">
        <f>IF($B113="","",IF($B113+1&gt;'Qredits maandlasten'!$C$7,"",(_xlfn.DAYS(F114,E114)+1)/DAY(F114)))</f>
        <v/>
      </c>
      <c r="H114" s="422"/>
      <c r="I114" s="423" t="str">
        <f>IF($B113="","",IF($B113+1&gt;'Qredits maandlasten'!$C$7,"",I113-J113))</f>
        <v/>
      </c>
      <c r="J114" s="423" t="str">
        <f>IF($B113="","",IF($B113+1&gt;'Qredits maandlasten'!$C$7,"",IF(B113&lt;'Investering &amp; Financiering'!$E$52-1,0,IF('Qredits maandlasten'!$C$10="Lineair",'Qredits maandlasten'!$H$4,IF('Qredits maandlasten'!$C$10="Annuïteit",IFERROR('Qredits maandlasten'!$H$4-K114,0),0)))))</f>
        <v/>
      </c>
      <c r="K114" s="423" t="str">
        <f>IF($B113="","",IF($B113+1&gt;'Qredits maandlasten'!$C$7,"",G114*I114*'Qredits maandlasten'!$C$8/12))</f>
        <v/>
      </c>
      <c r="L114" s="423" t="str">
        <f t="shared" si="7"/>
        <v/>
      </c>
      <c r="M114" s="423" t="str">
        <f t="shared" si="5"/>
        <v/>
      </c>
      <c r="N114" s="422"/>
      <c r="O114" s="424" t="str">
        <f>IF($B114="","",'Qredits maandlasten'!$C$8/12)</f>
        <v/>
      </c>
      <c r="P114" s="424" t="str">
        <f>IF($B114="","",'Qredits maandlasten'!$C$8/12*(POWER(1+'Qredits maandlasten'!$C$8/12,$B114-1+1)))</f>
        <v/>
      </c>
      <c r="Q114" s="424" t="str">
        <f t="shared" si="8"/>
        <v/>
      </c>
      <c r="R114" s="422"/>
      <c r="S114" s="423" t="str">
        <f t="shared" si="6"/>
        <v/>
      </c>
      <c r="T114" s="423" t="str">
        <f>IF(S114="","",J114/(POWER(1+'Qredits maandlasten'!$C$8/12,$B114-1+1)))</f>
        <v/>
      </c>
      <c r="U114" s="425" t="str">
        <f t="shared" si="9"/>
        <v/>
      </c>
      <c r="V114" s="423" t="str">
        <f>IF($B114="","",K114/(POWER(1+'Qredits maandlasten'!$C$8/12,$B114-1+1)))</f>
        <v/>
      </c>
      <c r="W114" s="422"/>
    </row>
    <row r="115" spans="1:23" s="427" customFormat="1" x14ac:dyDescent="0.2">
      <c r="A115" s="418"/>
      <c r="B115" s="419" t="str">
        <f>IF($B114="","",IF($B114+1&gt;'Qredits maandlasten'!$C$7,"",Schema!B114+1))</f>
        <v/>
      </c>
      <c r="C115" s="420" t="str">
        <f>IF($B114="","",IF($B114+1&gt;'Qredits maandlasten'!$C$7,"",EOMONTH(C114,0)+1))</f>
        <v/>
      </c>
      <c r="D115" s="418"/>
      <c r="E115" s="420" t="str">
        <f>IF($B114="","",IF($B114+1&gt;'Qredits maandlasten'!$C$7,"",F114+1))</f>
        <v/>
      </c>
      <c r="F115" s="420" t="str">
        <f>IF($B114="","",IF($B114+1&gt;'Qredits maandlasten'!$C$7,"",EOMONTH(C115,-1)))</f>
        <v/>
      </c>
      <c r="G115" s="421" t="str">
        <f>IF($B114="","",IF($B114+1&gt;'Qredits maandlasten'!$C$7,"",(_xlfn.DAYS(F115,E115)+1)/DAY(F115)))</f>
        <v/>
      </c>
      <c r="H115" s="422"/>
      <c r="I115" s="423" t="str">
        <f>IF($B114="","",IF($B114+1&gt;'Qredits maandlasten'!$C$7,"",I114-J114))</f>
        <v/>
      </c>
      <c r="J115" s="423" t="str">
        <f>IF($B114="","",IF($B114+1&gt;'Qredits maandlasten'!$C$7,"",IF(B114&lt;'Investering &amp; Financiering'!$E$52-1,0,IF('Qredits maandlasten'!$C$10="Lineair",'Qredits maandlasten'!$H$4,IF('Qredits maandlasten'!$C$10="Annuïteit",IFERROR('Qredits maandlasten'!$H$4-K115,0),0)))))</f>
        <v/>
      </c>
      <c r="K115" s="423" t="str">
        <f>IF($B114="","",IF($B114+1&gt;'Qredits maandlasten'!$C$7,"",G115*I115*'Qredits maandlasten'!$C$8/12))</f>
        <v/>
      </c>
      <c r="L115" s="423" t="str">
        <f t="shared" si="7"/>
        <v/>
      </c>
      <c r="M115" s="423" t="str">
        <f t="shared" si="5"/>
        <v/>
      </c>
      <c r="N115" s="422"/>
      <c r="O115" s="424" t="str">
        <f>IF($B115="","",'Qredits maandlasten'!$C$8/12)</f>
        <v/>
      </c>
      <c r="P115" s="424" t="str">
        <f>IF($B115="","",'Qredits maandlasten'!$C$8/12*(POWER(1+'Qredits maandlasten'!$C$8/12,$B115-1+1)))</f>
        <v/>
      </c>
      <c r="Q115" s="424" t="str">
        <f t="shared" si="8"/>
        <v/>
      </c>
      <c r="R115" s="422"/>
      <c r="S115" s="423" t="str">
        <f t="shared" si="6"/>
        <v/>
      </c>
      <c r="T115" s="423" t="str">
        <f>IF(S115="","",J115/(POWER(1+'Qredits maandlasten'!$C$8/12,$B115-1+1)))</f>
        <v/>
      </c>
      <c r="U115" s="425" t="str">
        <f t="shared" si="9"/>
        <v/>
      </c>
      <c r="V115" s="423" t="str">
        <f>IF($B115="","",K115/(POWER(1+'Qredits maandlasten'!$C$8/12,$B115-1+1)))</f>
        <v/>
      </c>
      <c r="W115" s="422"/>
    </row>
    <row r="116" spans="1:23" s="427" customFormat="1" x14ac:dyDescent="0.2">
      <c r="A116" s="418"/>
      <c r="B116" s="419" t="str">
        <f>IF($B115="","",IF($B115+1&gt;'Qredits maandlasten'!$C$7,"",Schema!B115+1))</f>
        <v/>
      </c>
      <c r="C116" s="420" t="str">
        <f>IF($B115="","",IF($B115+1&gt;'Qredits maandlasten'!$C$7,"",EOMONTH(C115,0)+1))</f>
        <v/>
      </c>
      <c r="D116" s="418"/>
      <c r="E116" s="420" t="str">
        <f>IF($B115="","",IF($B115+1&gt;'Qredits maandlasten'!$C$7,"",F115+1))</f>
        <v/>
      </c>
      <c r="F116" s="420" t="str">
        <f>IF($B115="","",IF($B115+1&gt;'Qredits maandlasten'!$C$7,"",EOMONTH(C116,-1)))</f>
        <v/>
      </c>
      <c r="G116" s="421" t="str">
        <f>IF($B115="","",IF($B115+1&gt;'Qredits maandlasten'!$C$7,"",(_xlfn.DAYS(F116,E116)+1)/DAY(F116)))</f>
        <v/>
      </c>
      <c r="H116" s="422"/>
      <c r="I116" s="423" t="str">
        <f>IF($B115="","",IF($B115+1&gt;'Qredits maandlasten'!$C$7,"",I115-J115))</f>
        <v/>
      </c>
      <c r="J116" s="423" t="str">
        <f>IF($B115="","",IF($B115+1&gt;'Qredits maandlasten'!$C$7,"",IF(B115&lt;'Investering &amp; Financiering'!$E$52-1,0,IF('Qredits maandlasten'!$C$10="Lineair",'Qredits maandlasten'!$H$4,IF('Qredits maandlasten'!$C$10="Annuïteit",IFERROR('Qredits maandlasten'!$H$4-K116,0),0)))))</f>
        <v/>
      </c>
      <c r="K116" s="423" t="str">
        <f>IF($B115="","",IF($B115+1&gt;'Qredits maandlasten'!$C$7,"",G116*I116*'Qredits maandlasten'!$C$8/12))</f>
        <v/>
      </c>
      <c r="L116" s="423" t="str">
        <f t="shared" si="7"/>
        <v/>
      </c>
      <c r="M116" s="423" t="str">
        <f t="shared" si="5"/>
        <v/>
      </c>
      <c r="N116" s="422"/>
      <c r="O116" s="424" t="str">
        <f>IF($B116="","",'Qredits maandlasten'!$C$8/12)</f>
        <v/>
      </c>
      <c r="P116" s="424" t="str">
        <f>IF($B116="","",'Qredits maandlasten'!$C$8/12*(POWER(1+'Qredits maandlasten'!$C$8/12,$B116-1+1)))</f>
        <v/>
      </c>
      <c r="Q116" s="424" t="str">
        <f t="shared" si="8"/>
        <v/>
      </c>
      <c r="R116" s="422"/>
      <c r="S116" s="423" t="str">
        <f t="shared" si="6"/>
        <v/>
      </c>
      <c r="T116" s="423" t="str">
        <f>IF(S116="","",J116/(POWER(1+'Qredits maandlasten'!$C$8/12,$B116-1+1)))</f>
        <v/>
      </c>
      <c r="U116" s="425" t="str">
        <f t="shared" si="9"/>
        <v/>
      </c>
      <c r="V116" s="423" t="str">
        <f>IF($B116="","",K116/(POWER(1+'Qredits maandlasten'!$C$8/12,$B116-1+1)))</f>
        <v/>
      </c>
      <c r="W116" s="422"/>
    </row>
    <row r="117" spans="1:23" s="427" customFormat="1" x14ac:dyDescent="0.2">
      <c r="A117" s="418"/>
      <c r="B117" s="419" t="str">
        <f>IF($B116="","",IF($B116+1&gt;'Qredits maandlasten'!$C$7,"",Schema!B116+1))</f>
        <v/>
      </c>
      <c r="C117" s="420" t="str">
        <f>IF($B116="","",IF($B116+1&gt;'Qredits maandlasten'!$C$7,"",EOMONTH(C116,0)+1))</f>
        <v/>
      </c>
      <c r="D117" s="418"/>
      <c r="E117" s="420" t="str">
        <f>IF($B116="","",IF($B116+1&gt;'Qredits maandlasten'!$C$7,"",F116+1))</f>
        <v/>
      </c>
      <c r="F117" s="420" t="str">
        <f>IF($B116="","",IF($B116+1&gt;'Qredits maandlasten'!$C$7,"",EOMONTH(C117,-1)))</f>
        <v/>
      </c>
      <c r="G117" s="421" t="str">
        <f>IF($B116="","",IF($B116+1&gt;'Qredits maandlasten'!$C$7,"",(_xlfn.DAYS(F117,E117)+1)/DAY(F117)))</f>
        <v/>
      </c>
      <c r="H117" s="422"/>
      <c r="I117" s="423" t="str">
        <f>IF($B116="","",IF($B116+1&gt;'Qredits maandlasten'!$C$7,"",I116-J116))</f>
        <v/>
      </c>
      <c r="J117" s="423" t="str">
        <f>IF($B116="","",IF($B116+1&gt;'Qredits maandlasten'!$C$7,"",IF(B116&lt;'Investering &amp; Financiering'!$E$52-1,0,IF('Qredits maandlasten'!$C$10="Lineair",'Qredits maandlasten'!$H$4,IF('Qredits maandlasten'!$C$10="Annuïteit",IFERROR('Qredits maandlasten'!$H$4-K117,0),0)))))</f>
        <v/>
      </c>
      <c r="K117" s="423" t="str">
        <f>IF($B116="","",IF($B116+1&gt;'Qredits maandlasten'!$C$7,"",G117*I117*'Qredits maandlasten'!$C$8/12))</f>
        <v/>
      </c>
      <c r="L117" s="423" t="str">
        <f t="shared" si="7"/>
        <v/>
      </c>
      <c r="M117" s="423" t="str">
        <f t="shared" si="5"/>
        <v/>
      </c>
      <c r="N117" s="422"/>
      <c r="O117" s="424" t="str">
        <f>IF($B117="","",'Qredits maandlasten'!$C$8/12)</f>
        <v/>
      </c>
      <c r="P117" s="424" t="str">
        <f>IF($B117="","",'Qredits maandlasten'!$C$8/12*(POWER(1+'Qredits maandlasten'!$C$8/12,$B117-1+1)))</f>
        <v/>
      </c>
      <c r="Q117" s="424" t="str">
        <f t="shared" si="8"/>
        <v/>
      </c>
      <c r="R117" s="422"/>
      <c r="S117" s="423" t="str">
        <f t="shared" si="6"/>
        <v/>
      </c>
      <c r="T117" s="423" t="str">
        <f>IF(S117="","",J117/(POWER(1+'Qredits maandlasten'!$C$8/12,$B117-1+1)))</f>
        <v/>
      </c>
      <c r="U117" s="425" t="str">
        <f t="shared" si="9"/>
        <v/>
      </c>
      <c r="V117" s="423" t="str">
        <f>IF($B117="","",K117/(POWER(1+'Qredits maandlasten'!$C$8/12,$B117-1+1)))</f>
        <v/>
      </c>
      <c r="W117" s="422"/>
    </row>
    <row r="118" spans="1:23" s="427" customFormat="1" x14ac:dyDescent="0.2">
      <c r="A118" s="418"/>
      <c r="B118" s="419" t="str">
        <f>IF($B117="","",IF($B117+1&gt;'Qredits maandlasten'!$C$7,"",Schema!B117+1))</f>
        <v/>
      </c>
      <c r="C118" s="420" t="str">
        <f>IF($B117="","",IF($B117+1&gt;'Qredits maandlasten'!$C$7,"",EOMONTH(C117,0)+1))</f>
        <v/>
      </c>
      <c r="D118" s="418"/>
      <c r="E118" s="420" t="str">
        <f>IF($B117="","",IF($B117+1&gt;'Qredits maandlasten'!$C$7,"",F117+1))</f>
        <v/>
      </c>
      <c r="F118" s="420" t="str">
        <f>IF($B117="","",IF($B117+1&gt;'Qredits maandlasten'!$C$7,"",EOMONTH(C118,-1)))</f>
        <v/>
      </c>
      <c r="G118" s="421" t="str">
        <f>IF($B117="","",IF($B117+1&gt;'Qredits maandlasten'!$C$7,"",(_xlfn.DAYS(F118,E118)+1)/DAY(F118)))</f>
        <v/>
      </c>
      <c r="H118" s="422"/>
      <c r="I118" s="423" t="str">
        <f>IF($B117="","",IF($B117+1&gt;'Qredits maandlasten'!$C$7,"",I117-J117))</f>
        <v/>
      </c>
      <c r="J118" s="423" t="str">
        <f>IF($B117="","",IF($B117+1&gt;'Qredits maandlasten'!$C$7,"",IF(B117&lt;'Investering &amp; Financiering'!$E$52-1,0,IF('Qredits maandlasten'!$C$10="Lineair",'Qredits maandlasten'!$H$4,IF('Qredits maandlasten'!$C$10="Annuïteit",IFERROR('Qredits maandlasten'!$H$4-K118,0),0)))))</f>
        <v/>
      </c>
      <c r="K118" s="423" t="str">
        <f>IF($B117="","",IF($B117+1&gt;'Qredits maandlasten'!$C$7,"",G118*I118*'Qredits maandlasten'!$C$8/12))</f>
        <v/>
      </c>
      <c r="L118" s="423" t="str">
        <f t="shared" si="7"/>
        <v/>
      </c>
      <c r="M118" s="423" t="str">
        <f t="shared" si="5"/>
        <v/>
      </c>
      <c r="N118" s="422"/>
      <c r="O118" s="424" t="str">
        <f>IF($B118="","",'Qredits maandlasten'!$C$8/12)</f>
        <v/>
      </c>
      <c r="P118" s="424" t="str">
        <f>IF($B118="","",'Qredits maandlasten'!$C$8/12*(POWER(1+'Qredits maandlasten'!$C$8/12,$B118-1+1)))</f>
        <v/>
      </c>
      <c r="Q118" s="424" t="str">
        <f t="shared" si="8"/>
        <v/>
      </c>
      <c r="R118" s="422"/>
      <c r="S118" s="423" t="str">
        <f t="shared" si="6"/>
        <v/>
      </c>
      <c r="T118" s="423" t="str">
        <f>IF(S118="","",J118/(POWER(1+'Qredits maandlasten'!$C$8/12,$B118-1+1)))</f>
        <v/>
      </c>
      <c r="U118" s="425" t="str">
        <f t="shared" si="9"/>
        <v/>
      </c>
      <c r="V118" s="423" t="str">
        <f>IF($B118="","",K118/(POWER(1+'Qredits maandlasten'!$C$8/12,$B118-1+1)))</f>
        <v/>
      </c>
      <c r="W118" s="422"/>
    </row>
    <row r="119" spans="1:23" s="427" customFormat="1" x14ac:dyDescent="0.2">
      <c r="A119" s="418"/>
      <c r="B119" s="419" t="str">
        <f>IF($B118="","",IF($B118+1&gt;'Qredits maandlasten'!$C$7,"",Schema!B118+1))</f>
        <v/>
      </c>
      <c r="C119" s="420" t="str">
        <f>IF($B118="","",IF($B118+1&gt;'Qredits maandlasten'!$C$7,"",EOMONTH(C118,0)+1))</f>
        <v/>
      </c>
      <c r="D119" s="418"/>
      <c r="E119" s="420" t="str">
        <f>IF($B118="","",IF($B118+1&gt;'Qredits maandlasten'!$C$7,"",F118+1))</f>
        <v/>
      </c>
      <c r="F119" s="420" t="str">
        <f>IF($B118="","",IF($B118+1&gt;'Qredits maandlasten'!$C$7,"",EOMONTH(C119,-1)))</f>
        <v/>
      </c>
      <c r="G119" s="421" t="str">
        <f>IF($B118="","",IF($B118+1&gt;'Qredits maandlasten'!$C$7,"",(_xlfn.DAYS(F119,E119)+1)/DAY(F119)))</f>
        <v/>
      </c>
      <c r="H119" s="422"/>
      <c r="I119" s="423" t="str">
        <f>IF($B118="","",IF($B118+1&gt;'Qredits maandlasten'!$C$7,"",I118-J118))</f>
        <v/>
      </c>
      <c r="J119" s="423" t="str">
        <f>IF($B118="","",IF($B118+1&gt;'Qredits maandlasten'!$C$7,"",IF(B118&lt;'Investering &amp; Financiering'!$E$52-1,0,IF('Qredits maandlasten'!$C$10="Lineair",'Qredits maandlasten'!$H$4,IF('Qredits maandlasten'!$C$10="Annuïteit",IFERROR('Qredits maandlasten'!$H$4-K119,0),0)))))</f>
        <v/>
      </c>
      <c r="K119" s="423" t="str">
        <f>IF($B118="","",IF($B118+1&gt;'Qredits maandlasten'!$C$7,"",G119*I119*'Qredits maandlasten'!$C$8/12))</f>
        <v/>
      </c>
      <c r="L119" s="423" t="str">
        <f t="shared" si="7"/>
        <v/>
      </c>
      <c r="M119" s="423" t="str">
        <f t="shared" si="5"/>
        <v/>
      </c>
      <c r="N119" s="422"/>
      <c r="O119" s="424" t="str">
        <f>IF($B119="","",'Qredits maandlasten'!$C$8/12)</f>
        <v/>
      </c>
      <c r="P119" s="424" t="str">
        <f>IF($B119="","",'Qredits maandlasten'!$C$8/12*(POWER(1+'Qredits maandlasten'!$C$8/12,$B119-1+1)))</f>
        <v/>
      </c>
      <c r="Q119" s="424" t="str">
        <f t="shared" si="8"/>
        <v/>
      </c>
      <c r="R119" s="422"/>
      <c r="S119" s="423" t="str">
        <f t="shared" si="6"/>
        <v/>
      </c>
      <c r="T119" s="423" t="str">
        <f>IF(S119="","",J119/(POWER(1+'Qredits maandlasten'!$C$8/12,$B119-1+1)))</f>
        <v/>
      </c>
      <c r="U119" s="425" t="str">
        <f t="shared" si="9"/>
        <v/>
      </c>
      <c r="V119" s="423" t="str">
        <f>IF($B119="","",K119/(POWER(1+'Qredits maandlasten'!$C$8/12,$B119-1+1)))</f>
        <v/>
      </c>
      <c r="W119" s="422"/>
    </row>
    <row r="120" spans="1:23" s="427" customFormat="1" x14ac:dyDescent="0.2">
      <c r="A120" s="418"/>
      <c r="B120" s="419" t="str">
        <f>IF($B119="","",IF($B119+1&gt;'Qredits maandlasten'!$C$7,"",Schema!B119+1))</f>
        <v/>
      </c>
      <c r="C120" s="420" t="str">
        <f>IF($B119="","",IF($B119+1&gt;'Qredits maandlasten'!$C$7,"",EOMONTH(C119,0)+1))</f>
        <v/>
      </c>
      <c r="D120" s="418"/>
      <c r="E120" s="420" t="str">
        <f>IF($B119="","",IF($B119+1&gt;'Qredits maandlasten'!$C$7,"",F119+1))</f>
        <v/>
      </c>
      <c r="F120" s="420" t="str">
        <f>IF($B119="","",IF($B119+1&gt;'Qredits maandlasten'!$C$7,"",EOMONTH(C120,-1)))</f>
        <v/>
      </c>
      <c r="G120" s="421" t="str">
        <f>IF($B119="","",IF($B119+1&gt;'Qredits maandlasten'!$C$7,"",(_xlfn.DAYS(F120,E120)+1)/DAY(F120)))</f>
        <v/>
      </c>
      <c r="H120" s="422"/>
      <c r="I120" s="423" t="str">
        <f>IF($B119="","",IF($B119+1&gt;'Qredits maandlasten'!$C$7,"",I119-J119))</f>
        <v/>
      </c>
      <c r="J120" s="423" t="str">
        <f>IF($B119="","",IF($B119+1&gt;'Qredits maandlasten'!$C$7,"",IF(B119&lt;'Investering &amp; Financiering'!$E$52-1,0,IF('Qredits maandlasten'!$C$10="Lineair",'Qredits maandlasten'!$H$4,IF('Qredits maandlasten'!$C$10="Annuïteit",IFERROR('Qredits maandlasten'!$H$4-K120,0),0)))))</f>
        <v/>
      </c>
      <c r="K120" s="423" t="str">
        <f>IF($B119="","",IF($B119+1&gt;'Qredits maandlasten'!$C$7,"",G120*I120*'Qredits maandlasten'!$C$8/12))</f>
        <v/>
      </c>
      <c r="L120" s="423" t="str">
        <f t="shared" si="7"/>
        <v/>
      </c>
      <c r="M120" s="423" t="str">
        <f t="shared" si="5"/>
        <v/>
      </c>
      <c r="N120" s="422"/>
      <c r="O120" s="424" t="str">
        <f>IF($B120="","",'Qredits maandlasten'!$C$8/12)</f>
        <v/>
      </c>
      <c r="P120" s="424" t="str">
        <f>IF($B120="","",'Qredits maandlasten'!$C$8/12*(POWER(1+'Qredits maandlasten'!$C$8/12,$B120-1+1)))</f>
        <v/>
      </c>
      <c r="Q120" s="424" t="str">
        <f t="shared" si="8"/>
        <v/>
      </c>
      <c r="R120" s="422"/>
      <c r="S120" s="423" t="str">
        <f t="shared" si="6"/>
        <v/>
      </c>
      <c r="T120" s="423" t="str">
        <f>IF(S120="","",J120/(POWER(1+'Qredits maandlasten'!$C$8/12,$B120-1+1)))</f>
        <v/>
      </c>
      <c r="U120" s="425" t="str">
        <f t="shared" si="9"/>
        <v/>
      </c>
      <c r="V120" s="423" t="str">
        <f>IF($B120="","",K120/(POWER(1+'Qredits maandlasten'!$C$8/12,$B120-1+1)))</f>
        <v/>
      </c>
      <c r="W120" s="422"/>
    </row>
    <row r="121" spans="1:23" s="427" customFormat="1" x14ac:dyDescent="0.2">
      <c r="A121" s="418"/>
      <c r="B121" s="419" t="str">
        <f>IF($B120="","",IF($B120+1&gt;'Qredits maandlasten'!$C$7,"",Schema!B120+1))</f>
        <v/>
      </c>
      <c r="C121" s="420" t="str">
        <f>IF($B120="","",IF($B120+1&gt;'Qredits maandlasten'!$C$7,"",EOMONTH(C120,0)+1))</f>
        <v/>
      </c>
      <c r="D121" s="418"/>
      <c r="E121" s="420" t="str">
        <f>IF($B120="","",IF($B120+1&gt;'Qredits maandlasten'!$C$7,"",F120+1))</f>
        <v/>
      </c>
      <c r="F121" s="420" t="str">
        <f>IF($B120="","",IF($B120+1&gt;'Qredits maandlasten'!$C$7,"",EOMONTH(C121,-1)))</f>
        <v/>
      </c>
      <c r="G121" s="421" t="str">
        <f>IF($B120="","",IF($B120+1&gt;'Qredits maandlasten'!$C$7,"",(_xlfn.DAYS(F121,E121)+1)/DAY(F121)))</f>
        <v/>
      </c>
      <c r="H121" s="422"/>
      <c r="I121" s="423" t="str">
        <f>IF($B120="","",IF($B120+1&gt;'Qredits maandlasten'!$C$7,"",I120-J120))</f>
        <v/>
      </c>
      <c r="J121" s="423" t="str">
        <f>IF($B120="","",IF($B120+1&gt;'Qredits maandlasten'!$C$7,"",IF(B120&lt;'Investering &amp; Financiering'!$E$52-1,0,IF('Qredits maandlasten'!$C$10="Lineair",'Qredits maandlasten'!$H$4,IF('Qredits maandlasten'!$C$10="Annuïteit",IFERROR('Qredits maandlasten'!$H$4-K121,0),0)))))</f>
        <v/>
      </c>
      <c r="K121" s="423" t="str">
        <f>IF($B120="","",IF($B120+1&gt;'Qredits maandlasten'!$C$7,"",G121*I121*'Qredits maandlasten'!$C$8/12))</f>
        <v/>
      </c>
      <c r="L121" s="423" t="str">
        <f t="shared" si="7"/>
        <v/>
      </c>
      <c r="M121" s="423" t="str">
        <f t="shared" si="5"/>
        <v/>
      </c>
      <c r="N121" s="422"/>
      <c r="O121" s="424" t="str">
        <f>IF($B121="","",'Qredits maandlasten'!$C$8/12)</f>
        <v/>
      </c>
      <c r="P121" s="424" t="str">
        <f>IF($B121="","",'Qredits maandlasten'!$C$8/12*(POWER(1+'Qredits maandlasten'!$C$8/12,$B121-1+1)))</f>
        <v/>
      </c>
      <c r="Q121" s="424" t="str">
        <f t="shared" si="8"/>
        <v/>
      </c>
      <c r="R121" s="422"/>
      <c r="S121" s="423" t="str">
        <f t="shared" si="6"/>
        <v/>
      </c>
      <c r="T121" s="423" t="str">
        <f>IF(S121="","",J121/(POWER(1+'Qredits maandlasten'!$C$8/12,$B121-1+1)))</f>
        <v/>
      </c>
      <c r="U121" s="425" t="str">
        <f t="shared" si="9"/>
        <v/>
      </c>
      <c r="V121" s="423" t="str">
        <f>IF($B121="","",K121/(POWER(1+'Qredits maandlasten'!$C$8/12,$B121-1+1)))</f>
        <v/>
      </c>
      <c r="W121" s="422"/>
    </row>
    <row r="122" spans="1:23" s="427" customFormat="1" x14ac:dyDescent="0.2">
      <c r="A122" s="418"/>
      <c r="B122" s="419" t="str">
        <f>IF($B121="","",IF($B121+1&gt;'Qredits maandlasten'!$C$7,"",Schema!B121+1))</f>
        <v/>
      </c>
      <c r="C122" s="420" t="str">
        <f>IF($B121="","",IF($B121+1&gt;'Qredits maandlasten'!$C$7,"",EOMONTH(C121,0)+1))</f>
        <v/>
      </c>
      <c r="D122" s="418"/>
      <c r="E122" s="420" t="str">
        <f>IF($B121="","",IF($B121+1&gt;'Qredits maandlasten'!$C$7,"",F121+1))</f>
        <v/>
      </c>
      <c r="F122" s="420" t="str">
        <f>IF($B121="","",IF($B121+1&gt;'Qredits maandlasten'!$C$7,"",EOMONTH(C122,-1)))</f>
        <v/>
      </c>
      <c r="G122" s="421" t="str">
        <f>IF($B121="","",IF($B121+1&gt;'Qredits maandlasten'!$C$7,"",(_xlfn.DAYS(F122,E122)+1)/DAY(F122)))</f>
        <v/>
      </c>
      <c r="H122" s="422"/>
      <c r="I122" s="423" t="str">
        <f>IF($B121="","",IF($B121+1&gt;'Qredits maandlasten'!$C$7,"",I121-J121))</f>
        <v/>
      </c>
      <c r="J122" s="423" t="str">
        <f>IF($B121="","",IF($B121+1&gt;'Qredits maandlasten'!$C$7,"",IF(B121&lt;'Investering &amp; Financiering'!$E$52-1,0,IF('Qredits maandlasten'!$C$10="Lineair",'Qredits maandlasten'!$H$4,IF('Qredits maandlasten'!$C$10="Annuïteit",IFERROR('Qredits maandlasten'!$H$4-K122,0),0)))))</f>
        <v/>
      </c>
      <c r="K122" s="423" t="str">
        <f>IF($B121="","",IF($B121+1&gt;'Qredits maandlasten'!$C$7,"",G122*I122*'Qredits maandlasten'!$C$8/12))</f>
        <v/>
      </c>
      <c r="L122" s="423" t="str">
        <f t="shared" si="7"/>
        <v/>
      </c>
      <c r="M122" s="423" t="str">
        <f t="shared" si="5"/>
        <v/>
      </c>
      <c r="N122" s="422"/>
      <c r="O122" s="424" t="str">
        <f>IF($B122="","",'Qredits maandlasten'!$C$8/12)</f>
        <v/>
      </c>
      <c r="P122" s="424" t="str">
        <f>IF($B122="","",'Qredits maandlasten'!$C$8/12*(POWER(1+'Qredits maandlasten'!$C$8/12,$B122-1+1)))</f>
        <v/>
      </c>
      <c r="Q122" s="424" t="str">
        <f t="shared" si="8"/>
        <v/>
      </c>
      <c r="R122" s="422"/>
      <c r="S122" s="423" t="str">
        <f t="shared" si="6"/>
        <v/>
      </c>
      <c r="T122" s="423" t="str">
        <f>IF(S122="","",J122/(POWER(1+'Qredits maandlasten'!$C$8/12,$B122-1+1)))</f>
        <v/>
      </c>
      <c r="U122" s="425" t="str">
        <f t="shared" si="9"/>
        <v/>
      </c>
      <c r="V122" s="423" t="str">
        <f>IF($B122="","",K122/(POWER(1+'Qredits maandlasten'!$C$8/12,$B122-1+1)))</f>
        <v/>
      </c>
      <c r="W122" s="422"/>
    </row>
    <row r="123" spans="1:23" s="427" customFormat="1" x14ac:dyDescent="0.2">
      <c r="A123" s="418"/>
      <c r="B123" s="419" t="str">
        <f>IF($B122="","",IF($B122+1&gt;'Qredits maandlasten'!$C$7,"",Schema!B122+1))</f>
        <v/>
      </c>
      <c r="C123" s="420" t="str">
        <f>IF($B122="","",IF($B122+1&gt;'Qredits maandlasten'!$C$7,"",EOMONTH(C122,0)+1))</f>
        <v/>
      </c>
      <c r="D123" s="418"/>
      <c r="E123" s="420" t="str">
        <f>IF($B122="","",IF($B122+1&gt;'Qredits maandlasten'!$C$7,"",F122+1))</f>
        <v/>
      </c>
      <c r="F123" s="420" t="str">
        <f>IF($B122="","",IF($B122+1&gt;'Qredits maandlasten'!$C$7,"",EOMONTH(C123,-1)))</f>
        <v/>
      </c>
      <c r="G123" s="421" t="str">
        <f>IF($B122="","",IF($B122+1&gt;'Qredits maandlasten'!$C$7,"",(_xlfn.DAYS(F123,E123)+1)/DAY(F123)))</f>
        <v/>
      </c>
      <c r="H123" s="422"/>
      <c r="I123" s="423" t="str">
        <f>IF($B122="","",IF($B122+1&gt;'Qredits maandlasten'!$C$7,"",I122-J122))</f>
        <v/>
      </c>
      <c r="J123" s="423" t="str">
        <f>IF($B122="","",IF($B122+1&gt;'Qredits maandlasten'!$C$7,"",IF(B122&lt;'Investering &amp; Financiering'!$E$52-1,0,IF('Qredits maandlasten'!$C$10="Lineair",'Qredits maandlasten'!$H$4,IF('Qredits maandlasten'!$C$10="Annuïteit",IFERROR('Qredits maandlasten'!$H$4-K123,0),0)))))</f>
        <v/>
      </c>
      <c r="K123" s="423" t="str">
        <f>IF($B122="","",IF($B122+1&gt;'Qredits maandlasten'!$C$7,"",G123*I123*'Qredits maandlasten'!$C$8/12))</f>
        <v/>
      </c>
      <c r="L123" s="423" t="str">
        <f t="shared" si="7"/>
        <v/>
      </c>
      <c r="M123" s="423" t="str">
        <f t="shared" si="5"/>
        <v/>
      </c>
      <c r="N123" s="422"/>
      <c r="O123" s="424" t="str">
        <f>IF($B123="","",'Qredits maandlasten'!$C$8/12)</f>
        <v/>
      </c>
      <c r="P123" s="424" t="str">
        <f>IF($B123="","",'Qredits maandlasten'!$C$8/12*(POWER(1+'Qredits maandlasten'!$C$8/12,$B123-1+1)))</f>
        <v/>
      </c>
      <c r="Q123" s="424" t="str">
        <f t="shared" si="8"/>
        <v/>
      </c>
      <c r="R123" s="422"/>
      <c r="S123" s="423" t="str">
        <f t="shared" si="6"/>
        <v/>
      </c>
      <c r="T123" s="423" t="str">
        <f>IF(S123="","",J123/(POWER(1+'Qredits maandlasten'!$C$8/12,$B123-1+1)))</f>
        <v/>
      </c>
      <c r="U123" s="425" t="str">
        <f t="shared" si="9"/>
        <v/>
      </c>
      <c r="V123" s="423" t="str">
        <f>IF($B123="","",K123/(POWER(1+'Qredits maandlasten'!$C$8/12,$B123-1+1)))</f>
        <v/>
      </c>
      <c r="W123" s="422"/>
    </row>
    <row r="124" spans="1:23" s="427" customFormat="1" x14ac:dyDescent="0.2">
      <c r="A124" s="418"/>
      <c r="B124" s="419" t="str">
        <f>IF($B123="","",IF($B123+1&gt;'Qredits maandlasten'!$C$7,"",Schema!B123+1))</f>
        <v/>
      </c>
      <c r="C124" s="420" t="str">
        <f>IF($B123="","",IF($B123+1&gt;'Qredits maandlasten'!$C$7,"",EOMONTH(C123,0)+1))</f>
        <v/>
      </c>
      <c r="D124" s="418"/>
      <c r="E124" s="420" t="str">
        <f>IF($B123="","",IF($B123+1&gt;'Qredits maandlasten'!$C$7,"",F123+1))</f>
        <v/>
      </c>
      <c r="F124" s="420" t="str">
        <f>IF($B123="","",IF($B123+1&gt;'Qredits maandlasten'!$C$7,"",EOMONTH(C124,-1)))</f>
        <v/>
      </c>
      <c r="G124" s="421" t="str">
        <f>IF($B123="","",IF($B123+1&gt;'Qredits maandlasten'!$C$7,"",(_xlfn.DAYS(F124,E124)+1)/DAY(F124)))</f>
        <v/>
      </c>
      <c r="H124" s="422"/>
      <c r="I124" s="423" t="str">
        <f>IF($B123="","",IF($B123+1&gt;'Qredits maandlasten'!$C$7,"",I123-J123))</f>
        <v/>
      </c>
      <c r="J124" s="423" t="str">
        <f>IF($B123="","",IF($B123+1&gt;'Qredits maandlasten'!$C$7,"",IF(B123&lt;'Investering &amp; Financiering'!$E$52-1,0,IF('Qredits maandlasten'!$C$10="Lineair",'Qredits maandlasten'!$H$4,IF('Qredits maandlasten'!$C$10="Annuïteit",IFERROR('Qredits maandlasten'!$H$4-K124,0),0)))))</f>
        <v/>
      </c>
      <c r="K124" s="423" t="str">
        <f>IF($B123="","",IF($B123+1&gt;'Qredits maandlasten'!$C$7,"",G124*I124*'Qredits maandlasten'!$C$8/12))</f>
        <v/>
      </c>
      <c r="L124" s="423" t="str">
        <f t="shared" si="7"/>
        <v/>
      </c>
      <c r="M124" s="423" t="str">
        <f t="shared" si="5"/>
        <v/>
      </c>
      <c r="N124" s="422"/>
      <c r="O124" s="424" t="str">
        <f>IF($B124="","",'Qredits maandlasten'!$C$8/12)</f>
        <v/>
      </c>
      <c r="P124" s="424" t="str">
        <f>IF($B124="","",'Qredits maandlasten'!$C$8/12*(POWER(1+'Qredits maandlasten'!$C$8/12,$B124-1+1)))</f>
        <v/>
      </c>
      <c r="Q124" s="424" t="str">
        <f t="shared" si="8"/>
        <v/>
      </c>
      <c r="R124" s="422"/>
      <c r="S124" s="423" t="str">
        <f t="shared" si="6"/>
        <v/>
      </c>
      <c r="T124" s="423" t="str">
        <f>IF(S124="","",J124/(POWER(1+'Qredits maandlasten'!$C$8/12,$B124-1+1)))</f>
        <v/>
      </c>
      <c r="U124" s="425" t="str">
        <f t="shared" si="9"/>
        <v/>
      </c>
      <c r="V124" s="423" t="str">
        <f>IF($B124="","",K124/(POWER(1+'Qredits maandlasten'!$C$8/12,$B124-1+1)))</f>
        <v/>
      </c>
      <c r="W124" s="422"/>
    </row>
    <row r="125" spans="1:23" s="427" customFormat="1" x14ac:dyDescent="0.2">
      <c r="A125" s="418"/>
      <c r="B125" s="419" t="str">
        <f>IF($B124="","",IF($B124+1&gt;'Qredits maandlasten'!$C$7,"",Schema!B124+1))</f>
        <v/>
      </c>
      <c r="C125" s="420" t="str">
        <f>IF($B124="","",IF($B124+1&gt;'Qredits maandlasten'!$C$7,"",EOMONTH(C124,0)+1))</f>
        <v/>
      </c>
      <c r="D125" s="418"/>
      <c r="E125" s="420" t="str">
        <f>IF($B124="","",IF($B124+1&gt;'Qredits maandlasten'!$C$7,"",F124+1))</f>
        <v/>
      </c>
      <c r="F125" s="420" t="str">
        <f>IF($B124="","",IF($B124+1&gt;'Qredits maandlasten'!$C$7,"",EOMONTH(C125,-1)))</f>
        <v/>
      </c>
      <c r="G125" s="421" t="str">
        <f>IF($B124="","",IF($B124+1&gt;'Qredits maandlasten'!$C$7,"",(_xlfn.DAYS(F125,E125)+1)/DAY(F125)))</f>
        <v/>
      </c>
      <c r="H125" s="422"/>
      <c r="I125" s="423" t="str">
        <f>IF($B124="","",IF($B124+1&gt;'Qredits maandlasten'!$C$7,"",I124-J124))</f>
        <v/>
      </c>
      <c r="J125" s="423" t="str">
        <f>IF($B124="","",IF($B124+1&gt;'Qredits maandlasten'!$C$7,"",IF(B124&lt;'Investering &amp; Financiering'!$E$52-1,0,IF('Qredits maandlasten'!$C$10="Lineair",'Qredits maandlasten'!$H$4,IF('Qredits maandlasten'!$C$10="Annuïteit",IFERROR('Qredits maandlasten'!$H$4-K125,0),0)))))</f>
        <v/>
      </c>
      <c r="K125" s="423" t="str">
        <f>IF($B124="","",IF($B124+1&gt;'Qredits maandlasten'!$C$7,"",G125*I125*'Qredits maandlasten'!$C$8/12))</f>
        <v/>
      </c>
      <c r="L125" s="423" t="str">
        <f t="shared" si="7"/>
        <v/>
      </c>
      <c r="M125" s="423" t="str">
        <f t="shared" si="5"/>
        <v/>
      </c>
      <c r="N125" s="422"/>
      <c r="O125" s="424" t="str">
        <f>IF($B125="","",'Qredits maandlasten'!$C$8/12)</f>
        <v/>
      </c>
      <c r="P125" s="424" t="str">
        <f>IF($B125="","",'Qredits maandlasten'!$C$8/12*(POWER(1+'Qredits maandlasten'!$C$8/12,$B125-1+1)))</f>
        <v/>
      </c>
      <c r="Q125" s="424" t="str">
        <f t="shared" si="8"/>
        <v/>
      </c>
      <c r="R125" s="422"/>
      <c r="S125" s="423" t="str">
        <f t="shared" si="6"/>
        <v/>
      </c>
      <c r="T125" s="423" t="str">
        <f>IF(S125="","",J125/(POWER(1+'Qredits maandlasten'!$C$8/12,$B125-1+1)))</f>
        <v/>
      </c>
      <c r="U125" s="425" t="str">
        <f t="shared" si="9"/>
        <v/>
      </c>
      <c r="V125" s="423" t="str">
        <f>IF($B125="","",K125/(POWER(1+'Qredits maandlasten'!$C$8/12,$B125-1+1)))</f>
        <v/>
      </c>
      <c r="W125" s="422"/>
    </row>
    <row r="126" spans="1:23" s="427" customFormat="1" x14ac:dyDescent="0.2">
      <c r="A126" s="418"/>
      <c r="B126" s="419" t="str">
        <f>IF($B125="","",IF($B125+1&gt;'Qredits maandlasten'!$C$7,"",Schema!B125+1))</f>
        <v/>
      </c>
      <c r="C126" s="420" t="str">
        <f>IF($B125="","",IF($B125+1&gt;'Qredits maandlasten'!$C$7,"",EOMONTH(C125,0)+1))</f>
        <v/>
      </c>
      <c r="D126" s="418"/>
      <c r="E126" s="420" t="str">
        <f>IF($B125="","",IF($B125+1&gt;'Qredits maandlasten'!$C$7,"",F125+1))</f>
        <v/>
      </c>
      <c r="F126" s="420" t="str">
        <f>IF($B125="","",IF($B125+1&gt;'Qredits maandlasten'!$C$7,"",EOMONTH(C126,-1)))</f>
        <v/>
      </c>
      <c r="G126" s="421" t="str">
        <f>IF($B125="","",IF($B125+1&gt;'Qredits maandlasten'!$C$7,"",(_xlfn.DAYS(F126,E126)+1)/DAY(F126)))</f>
        <v/>
      </c>
      <c r="H126" s="422"/>
      <c r="I126" s="423" t="str">
        <f>IF($B125="","",IF($B125+1&gt;'Qredits maandlasten'!$C$7,"",I125-J125))</f>
        <v/>
      </c>
      <c r="J126" s="423" t="str">
        <f>IF($B125="","",IF($B125+1&gt;'Qredits maandlasten'!$C$7,"",IF(B125&lt;'Investering &amp; Financiering'!$E$52-1,0,IF('Qredits maandlasten'!$C$10="Lineair",'Qredits maandlasten'!$H$4,IF('Qredits maandlasten'!$C$10="Annuïteit",IFERROR('Qredits maandlasten'!$H$4-K126,0),0)))))</f>
        <v/>
      </c>
      <c r="K126" s="423" t="str">
        <f>IF($B125="","",IF($B125+1&gt;'Qredits maandlasten'!$C$7,"",G126*I126*'Qredits maandlasten'!$C$8/12))</f>
        <v/>
      </c>
      <c r="L126" s="423" t="str">
        <f t="shared" si="7"/>
        <v/>
      </c>
      <c r="M126" s="423" t="str">
        <f t="shared" si="5"/>
        <v/>
      </c>
      <c r="N126" s="422"/>
      <c r="O126" s="424" t="str">
        <f>IF($B126="","",'Qredits maandlasten'!$C$8/12)</f>
        <v/>
      </c>
      <c r="P126" s="424" t="str">
        <f>IF($B126="","",'Qredits maandlasten'!$C$8/12*(POWER(1+'Qredits maandlasten'!$C$8/12,$B126-1+1)))</f>
        <v/>
      </c>
      <c r="Q126" s="424" t="str">
        <f t="shared" si="8"/>
        <v/>
      </c>
      <c r="R126" s="422"/>
      <c r="S126" s="423" t="str">
        <f t="shared" si="6"/>
        <v/>
      </c>
      <c r="T126" s="423" t="str">
        <f>IF(S126="","",J126/(POWER(1+'Qredits maandlasten'!$C$8/12,$B126-1+1)))</f>
        <v/>
      </c>
      <c r="U126" s="425" t="str">
        <f t="shared" si="9"/>
        <v/>
      </c>
      <c r="V126" s="423" t="str">
        <f>IF($B126="","",K126/(POWER(1+'Qredits maandlasten'!$C$8/12,$B126-1+1)))</f>
        <v/>
      </c>
      <c r="W126" s="422"/>
    </row>
    <row r="127" spans="1:23" s="427" customFormat="1" x14ac:dyDescent="0.2">
      <c r="A127" s="418"/>
      <c r="B127" s="419" t="str">
        <f>IF($B126="","",IF($B126+1&gt;'Qredits maandlasten'!$C$7,"",Schema!B126+1))</f>
        <v/>
      </c>
      <c r="C127" s="420" t="str">
        <f>IF($B126="","",IF($B126+1&gt;'Qredits maandlasten'!$C$7,"",EOMONTH(C126,0)+1))</f>
        <v/>
      </c>
      <c r="D127" s="418"/>
      <c r="E127" s="420" t="str">
        <f>IF($B126="","",IF($B126+1&gt;'Qredits maandlasten'!$C$7,"",F126+1))</f>
        <v/>
      </c>
      <c r="F127" s="420" t="str">
        <f>IF($B126="","",IF($B126+1&gt;'Qredits maandlasten'!$C$7,"",EOMONTH(C127,-1)))</f>
        <v/>
      </c>
      <c r="G127" s="421" t="str">
        <f>IF($B126="","",IF($B126+1&gt;'Qredits maandlasten'!$C$7,"",(_xlfn.DAYS(F127,E127)+1)/DAY(F127)))</f>
        <v/>
      </c>
      <c r="H127" s="422"/>
      <c r="I127" s="423" t="str">
        <f>IF($B126="","",IF($B126+1&gt;'Qredits maandlasten'!$C$7,"",I126-J126))</f>
        <v/>
      </c>
      <c r="J127" s="423" t="str">
        <f>IF($B126="","",IF($B126+1&gt;'Qredits maandlasten'!$C$7,"",IF(B126&lt;'Investering &amp; Financiering'!$E$52-1,0,IF('Qredits maandlasten'!$C$10="Lineair",'Qredits maandlasten'!$H$4,IF('Qredits maandlasten'!$C$10="Annuïteit",IFERROR('Qredits maandlasten'!$H$4-K127,0),0)))))</f>
        <v/>
      </c>
      <c r="K127" s="423" t="str">
        <f>IF($B126="","",IF($B126+1&gt;'Qredits maandlasten'!$C$7,"",G127*I127*'Qredits maandlasten'!$C$8/12))</f>
        <v/>
      </c>
      <c r="L127" s="423" t="str">
        <f t="shared" si="7"/>
        <v/>
      </c>
      <c r="M127" s="423" t="str">
        <f t="shared" si="5"/>
        <v/>
      </c>
      <c r="N127" s="422"/>
      <c r="O127" s="424" t="str">
        <f>IF($B127="","",'Qredits maandlasten'!$C$8/12)</f>
        <v/>
      </c>
      <c r="P127" s="424" t="str">
        <f>IF($B127="","",'Qredits maandlasten'!$C$8/12*(POWER(1+'Qredits maandlasten'!$C$8/12,$B127-1+1)))</f>
        <v/>
      </c>
      <c r="Q127" s="424" t="str">
        <f t="shared" si="8"/>
        <v/>
      </c>
      <c r="R127" s="422"/>
      <c r="S127" s="423" t="str">
        <f t="shared" si="6"/>
        <v/>
      </c>
      <c r="T127" s="423" t="str">
        <f>IF(S127="","",J127/(POWER(1+'Qredits maandlasten'!$C$8/12,$B127-1+1)))</f>
        <v/>
      </c>
      <c r="U127" s="425" t="str">
        <f t="shared" si="9"/>
        <v/>
      </c>
      <c r="V127" s="423" t="str">
        <f>IF($B127="","",K127/(POWER(1+'Qredits maandlasten'!$C$8/12,$B127-1+1)))</f>
        <v/>
      </c>
      <c r="W127" s="422"/>
    </row>
    <row r="128" spans="1:23" s="427" customFormat="1" x14ac:dyDescent="0.2">
      <c r="A128" s="418"/>
      <c r="B128" s="419" t="str">
        <f>IF($B127="","",IF($B127+1&gt;'Qredits maandlasten'!$C$7,"",Schema!B127+1))</f>
        <v/>
      </c>
      <c r="C128" s="420" t="str">
        <f>IF($B127="","",IF($B127+1&gt;'Qredits maandlasten'!$C$7,"",EOMONTH(C127,0)+1))</f>
        <v/>
      </c>
      <c r="D128" s="418"/>
      <c r="E128" s="420" t="str">
        <f>IF($B127="","",IF($B127+1&gt;'Qredits maandlasten'!$C$7,"",F127+1))</f>
        <v/>
      </c>
      <c r="F128" s="420" t="str">
        <f>IF($B127="","",IF($B127+1&gt;'Qredits maandlasten'!$C$7,"",EOMONTH(C128,-1)))</f>
        <v/>
      </c>
      <c r="G128" s="421" t="str">
        <f>IF($B127="","",IF($B127+1&gt;'Qredits maandlasten'!$C$7,"",(_xlfn.DAYS(F128,E128)+1)/DAY(F128)))</f>
        <v/>
      </c>
      <c r="H128" s="422"/>
      <c r="I128" s="423" t="str">
        <f>IF($B127="","",IF($B127+1&gt;'Qredits maandlasten'!$C$7,"",I127-J127))</f>
        <v/>
      </c>
      <c r="J128" s="423" t="str">
        <f>IF($B127="","",IF($B127+1&gt;'Qredits maandlasten'!$C$7,"",IF(B127&lt;'Investering &amp; Financiering'!$E$52-1,0,IF('Qredits maandlasten'!$C$10="Lineair",'Qredits maandlasten'!$H$4,IF('Qredits maandlasten'!$C$10="Annuïteit",IFERROR('Qredits maandlasten'!$H$4-K128,0),0)))))</f>
        <v/>
      </c>
      <c r="K128" s="423" t="str">
        <f>IF($B127="","",IF($B127+1&gt;'Qredits maandlasten'!$C$7,"",G128*I128*'Qredits maandlasten'!$C$8/12))</f>
        <v/>
      </c>
      <c r="L128" s="423" t="str">
        <f t="shared" si="7"/>
        <v/>
      </c>
      <c r="M128" s="423" t="str">
        <f t="shared" si="5"/>
        <v/>
      </c>
      <c r="N128" s="422"/>
      <c r="O128" s="424" t="str">
        <f>IF($B128="","",'Qredits maandlasten'!$C$8/12)</f>
        <v/>
      </c>
      <c r="P128" s="424" t="str">
        <f>IF($B128="","",'Qredits maandlasten'!$C$8/12*(POWER(1+'Qredits maandlasten'!$C$8/12,$B128-1+1)))</f>
        <v/>
      </c>
      <c r="Q128" s="424" t="str">
        <f t="shared" si="8"/>
        <v/>
      </c>
      <c r="R128" s="422"/>
      <c r="S128" s="423" t="str">
        <f t="shared" si="6"/>
        <v/>
      </c>
      <c r="T128" s="423" t="str">
        <f>IF(S128="","",J128/(POWER(1+'Qredits maandlasten'!$C$8/12,$B128-1+1)))</f>
        <v/>
      </c>
      <c r="U128" s="425" t="str">
        <f t="shared" si="9"/>
        <v/>
      </c>
      <c r="V128" s="423" t="str">
        <f>IF($B128="","",K128/(POWER(1+'Qredits maandlasten'!$C$8/12,$B128-1+1)))</f>
        <v/>
      </c>
      <c r="W128" s="422"/>
    </row>
    <row r="129" spans="1:23" s="427" customFormat="1" x14ac:dyDescent="0.2">
      <c r="A129" s="418"/>
      <c r="B129" s="419" t="str">
        <f>IF($B128="","",IF($B128+1&gt;'Qredits maandlasten'!$C$7,"",Schema!B128+1))</f>
        <v/>
      </c>
      <c r="C129" s="420" t="str">
        <f>IF($B128="","",IF($B128+1&gt;'Qredits maandlasten'!$C$7,"",EOMONTH(C128,0)+1))</f>
        <v/>
      </c>
      <c r="D129" s="418"/>
      <c r="E129" s="420" t="str">
        <f>IF($B128="","",IF($B128+1&gt;'Qredits maandlasten'!$C$7,"",F128+1))</f>
        <v/>
      </c>
      <c r="F129" s="420" t="str">
        <f>IF($B128="","",IF($B128+1&gt;'Qredits maandlasten'!$C$7,"",EOMONTH(C129,-1)))</f>
        <v/>
      </c>
      <c r="G129" s="421" t="str">
        <f>IF($B128="","",IF($B128+1&gt;'Qredits maandlasten'!$C$7,"",(_xlfn.DAYS(F129,E129)+1)/DAY(F129)))</f>
        <v/>
      </c>
      <c r="H129" s="422"/>
      <c r="I129" s="423" t="str">
        <f>IF($B128="","",IF($B128+1&gt;'Qredits maandlasten'!$C$7,"",I128-J128))</f>
        <v/>
      </c>
      <c r="J129" s="423" t="str">
        <f>IF($B128="","",IF($B128+1&gt;'Qredits maandlasten'!$C$7,"",IF(B128&lt;'Investering &amp; Financiering'!$E$52-1,0,IF('Qredits maandlasten'!$C$10="Lineair",'Qredits maandlasten'!$H$4,IF('Qredits maandlasten'!$C$10="Annuïteit",IFERROR('Qredits maandlasten'!$H$4-K129,0),0)))))</f>
        <v/>
      </c>
      <c r="K129" s="423" t="str">
        <f>IF($B128="","",IF($B128+1&gt;'Qredits maandlasten'!$C$7,"",G129*I129*'Qredits maandlasten'!$C$8/12))</f>
        <v/>
      </c>
      <c r="L129" s="423" t="str">
        <f t="shared" si="7"/>
        <v/>
      </c>
      <c r="M129" s="423" t="str">
        <f t="shared" si="5"/>
        <v/>
      </c>
      <c r="N129" s="422"/>
      <c r="O129" s="424" t="str">
        <f>IF($B129="","",'Qredits maandlasten'!$C$8/12)</f>
        <v/>
      </c>
      <c r="P129" s="424" t="str">
        <f>IF($B129="","",'Qredits maandlasten'!$C$8/12*(POWER(1+'Qredits maandlasten'!$C$8/12,$B129-1+1)))</f>
        <v/>
      </c>
      <c r="Q129" s="424" t="str">
        <f t="shared" si="8"/>
        <v/>
      </c>
      <c r="R129" s="422"/>
      <c r="S129" s="423" t="str">
        <f t="shared" si="6"/>
        <v/>
      </c>
      <c r="T129" s="423" t="str">
        <f>IF(S129="","",J129/(POWER(1+'Qredits maandlasten'!$C$8/12,$B129-1+1)))</f>
        <v/>
      </c>
      <c r="U129" s="425" t="str">
        <f t="shared" si="9"/>
        <v/>
      </c>
      <c r="V129" s="423" t="str">
        <f>IF($B129="","",K129/(POWER(1+'Qredits maandlasten'!$C$8/12,$B129-1+1)))</f>
        <v/>
      </c>
      <c r="W129" s="422"/>
    </row>
    <row r="130" spans="1:23" s="427" customFormat="1" x14ac:dyDescent="0.2">
      <c r="A130" s="418"/>
      <c r="B130" s="419" t="str">
        <f>IF($B129="","",IF($B129+1&gt;'Qredits maandlasten'!$C$7,"",Schema!B129+1))</f>
        <v/>
      </c>
      <c r="C130" s="420" t="str">
        <f>IF($B129="","",IF($B129+1&gt;'Qredits maandlasten'!$C$7,"",EOMONTH(C129,0)+1))</f>
        <v/>
      </c>
      <c r="D130" s="418"/>
      <c r="E130" s="420" t="str">
        <f>IF($B129="","",IF($B129+1&gt;'Qredits maandlasten'!$C$7,"",F129+1))</f>
        <v/>
      </c>
      <c r="F130" s="420" t="str">
        <f>IF($B129="","",IF($B129+1&gt;'Qredits maandlasten'!$C$7,"",EOMONTH(C130,-1)))</f>
        <v/>
      </c>
      <c r="G130" s="421" t="str">
        <f>IF($B129="","",IF($B129+1&gt;'Qredits maandlasten'!$C$7,"",(_xlfn.DAYS(F130,E130)+1)/DAY(F130)))</f>
        <v/>
      </c>
      <c r="H130" s="422"/>
      <c r="I130" s="423" t="str">
        <f>IF($B129="","",IF($B129+1&gt;'Qredits maandlasten'!$C$7,"",I129-J129))</f>
        <v/>
      </c>
      <c r="J130" s="423" t="str">
        <f>IF($B129="","",IF($B129+1&gt;'Qredits maandlasten'!$C$7,"",IF(B129&lt;'Investering &amp; Financiering'!$E$52-1,0,IF('Qredits maandlasten'!$C$10="Lineair",'Qredits maandlasten'!$H$4,IF('Qredits maandlasten'!$C$10="Annuïteit",IFERROR('Qredits maandlasten'!$H$4-K130,0),0)))))</f>
        <v/>
      </c>
      <c r="K130" s="423" t="str">
        <f>IF($B129="","",IF($B129+1&gt;'Qredits maandlasten'!$C$7,"",G130*I130*'Qredits maandlasten'!$C$8/12))</f>
        <v/>
      </c>
      <c r="L130" s="423" t="str">
        <f t="shared" si="7"/>
        <v/>
      </c>
      <c r="M130" s="423" t="str">
        <f t="shared" si="5"/>
        <v/>
      </c>
      <c r="N130" s="422"/>
      <c r="O130" s="424" t="str">
        <f>IF($B130="","",'Qredits maandlasten'!$C$8/12)</f>
        <v/>
      </c>
      <c r="P130" s="424" t="str">
        <f>IF($B130="","",'Qredits maandlasten'!$C$8/12*(POWER(1+'Qredits maandlasten'!$C$8/12,$B130-1+1)))</f>
        <v/>
      </c>
      <c r="Q130" s="424" t="str">
        <f t="shared" si="8"/>
        <v/>
      </c>
      <c r="R130" s="422"/>
      <c r="S130" s="423" t="str">
        <f t="shared" si="6"/>
        <v/>
      </c>
      <c r="T130" s="423" t="str">
        <f>IF(S130="","",J130/(POWER(1+'Qredits maandlasten'!$C$8/12,$B130-1+1)))</f>
        <v/>
      </c>
      <c r="U130" s="425" t="str">
        <f t="shared" si="9"/>
        <v/>
      </c>
      <c r="V130" s="423" t="str">
        <f>IF($B130="","",K130/(POWER(1+'Qredits maandlasten'!$C$8/12,$B130-1+1)))</f>
        <v/>
      </c>
      <c r="W130" s="422"/>
    </row>
    <row r="131" spans="1:23" s="427" customFormat="1" x14ac:dyDescent="0.2">
      <c r="A131" s="418"/>
      <c r="B131" s="419" t="str">
        <f>IF($B130="","",IF($B130+1&gt;'Qredits maandlasten'!$C$7,"",Schema!B130+1))</f>
        <v/>
      </c>
      <c r="C131" s="420" t="str">
        <f>IF($B130="","",IF($B130+1&gt;'Qredits maandlasten'!$C$7,"",EOMONTH(C130,0)+1))</f>
        <v/>
      </c>
      <c r="D131" s="418"/>
      <c r="E131" s="420" t="str">
        <f>IF($B130="","",IF($B130+1&gt;'Qredits maandlasten'!$C$7,"",F130+1))</f>
        <v/>
      </c>
      <c r="F131" s="420" t="str">
        <f>IF($B130="","",IF($B130+1&gt;'Qredits maandlasten'!$C$7,"",EOMONTH(C131,-1)))</f>
        <v/>
      </c>
      <c r="G131" s="421" t="str">
        <f>IF($B130="","",IF($B130+1&gt;'Qredits maandlasten'!$C$7,"",(_xlfn.DAYS(F131,E131)+1)/DAY(F131)))</f>
        <v/>
      </c>
      <c r="H131" s="422"/>
      <c r="I131" s="423" t="str">
        <f>IF($B130="","",IF($B130+1&gt;'Qredits maandlasten'!$C$7,"",I130-J130))</f>
        <v/>
      </c>
      <c r="J131" s="423" t="str">
        <f>IF($B130="","",IF($B130+1&gt;'Qredits maandlasten'!$C$7,"",IF(B130&lt;'Investering &amp; Financiering'!$E$52-1,0,IF('Qredits maandlasten'!$C$10="Lineair",'Qredits maandlasten'!$H$4,IF('Qredits maandlasten'!$C$10="Annuïteit",IFERROR('Qredits maandlasten'!$H$4-K131,0),0)))))</f>
        <v/>
      </c>
      <c r="K131" s="423" t="str">
        <f>IF($B130="","",IF($B130+1&gt;'Qredits maandlasten'!$C$7,"",G131*I131*'Qredits maandlasten'!$C$8/12))</f>
        <v/>
      </c>
      <c r="L131" s="423" t="str">
        <f t="shared" si="7"/>
        <v/>
      </c>
      <c r="M131" s="423" t="str">
        <f t="shared" si="5"/>
        <v/>
      </c>
      <c r="N131" s="422"/>
      <c r="O131" s="424" t="str">
        <f>IF($B131="","",'Qredits maandlasten'!$C$8/12)</f>
        <v/>
      </c>
      <c r="P131" s="424" t="str">
        <f>IF($B131="","",'Qredits maandlasten'!$C$8/12*(POWER(1+'Qredits maandlasten'!$C$8/12,$B131-1+1)))</f>
        <v/>
      </c>
      <c r="Q131" s="424" t="str">
        <f t="shared" si="8"/>
        <v/>
      </c>
      <c r="R131" s="422"/>
      <c r="S131" s="423" t="str">
        <f t="shared" si="6"/>
        <v/>
      </c>
      <c r="T131" s="423" t="str">
        <f>IF(S131="","",J131/(POWER(1+'Qredits maandlasten'!$C$8/12,$B131-1+1)))</f>
        <v/>
      </c>
      <c r="U131" s="425" t="str">
        <f t="shared" si="9"/>
        <v/>
      </c>
      <c r="V131" s="423" t="str">
        <f>IF($B131="","",K131/(POWER(1+'Qredits maandlasten'!$C$8/12,$B131-1+1)))</f>
        <v/>
      </c>
      <c r="W131" s="422"/>
    </row>
    <row r="132" spans="1:23" s="427" customFormat="1" x14ac:dyDescent="0.2">
      <c r="A132" s="418"/>
      <c r="B132" s="419" t="str">
        <f>IF($B131="","",IF($B131+1&gt;'Qredits maandlasten'!$C$7,"",Schema!B131+1))</f>
        <v/>
      </c>
      <c r="C132" s="420" t="str">
        <f>IF($B131="","",IF($B131+1&gt;'Qredits maandlasten'!$C$7,"",EOMONTH(C131,0)+1))</f>
        <v/>
      </c>
      <c r="D132" s="418"/>
      <c r="E132" s="420" t="str">
        <f>IF($B131="","",IF($B131+1&gt;'Qredits maandlasten'!$C$7,"",F131+1))</f>
        <v/>
      </c>
      <c r="F132" s="420" t="str">
        <f>IF($B131="","",IF($B131+1&gt;'Qredits maandlasten'!$C$7,"",EOMONTH(C132,-1)))</f>
        <v/>
      </c>
      <c r="G132" s="421" t="str">
        <f>IF($B131="","",IF($B131+1&gt;'Qredits maandlasten'!$C$7,"",(_xlfn.DAYS(F132,E132)+1)/DAY(F132)))</f>
        <v/>
      </c>
      <c r="H132" s="422"/>
      <c r="I132" s="423" t="str">
        <f>IF($B131="","",IF($B131+1&gt;'Qredits maandlasten'!$C$7,"",I131-J131))</f>
        <v/>
      </c>
      <c r="J132" s="423" t="str">
        <f>IF($B131="","",IF($B131+1&gt;'Qredits maandlasten'!$C$7,"",IF(B131&lt;'Investering &amp; Financiering'!$E$52-1,0,IF('Qredits maandlasten'!$C$10="Lineair",'Qredits maandlasten'!$H$4,IF('Qredits maandlasten'!$C$10="Annuïteit",IFERROR('Qredits maandlasten'!$H$4-K132,0),0)))))</f>
        <v/>
      </c>
      <c r="K132" s="423" t="str">
        <f>IF($B131="","",IF($B131+1&gt;'Qredits maandlasten'!$C$7,"",G132*I132*'Qredits maandlasten'!$C$8/12))</f>
        <v/>
      </c>
      <c r="L132" s="423" t="str">
        <f t="shared" si="7"/>
        <v/>
      </c>
      <c r="M132" s="423" t="str">
        <f t="shared" si="5"/>
        <v/>
      </c>
      <c r="N132" s="422"/>
      <c r="O132" s="424" t="str">
        <f>IF($B132="","",'Qredits maandlasten'!$C$8/12)</f>
        <v/>
      </c>
      <c r="P132" s="424" t="str">
        <f>IF($B132="","",'Qredits maandlasten'!$C$8/12*(POWER(1+'Qredits maandlasten'!$C$8/12,$B132-1+1)))</f>
        <v/>
      </c>
      <c r="Q132" s="424" t="str">
        <f t="shared" si="8"/>
        <v/>
      </c>
      <c r="R132" s="422"/>
      <c r="S132" s="423" t="str">
        <f t="shared" si="6"/>
        <v/>
      </c>
      <c r="T132" s="423" t="str">
        <f>IF(S132="","",J132/(POWER(1+'Qredits maandlasten'!$C$8/12,$B132-1+1)))</f>
        <v/>
      </c>
      <c r="U132" s="425" t="str">
        <f t="shared" si="9"/>
        <v/>
      </c>
      <c r="V132" s="423" t="str">
        <f>IF($B132="","",K132/(POWER(1+'Qredits maandlasten'!$C$8/12,$B132-1+1)))</f>
        <v/>
      </c>
      <c r="W132" s="422"/>
    </row>
    <row r="133" spans="1:23" s="427" customFormat="1" x14ac:dyDescent="0.2">
      <c r="A133" s="418"/>
      <c r="B133" s="419" t="str">
        <f>IF($B132="","",IF($B132+1&gt;'Qredits maandlasten'!$C$7,"",Schema!B132+1))</f>
        <v/>
      </c>
      <c r="C133" s="420" t="str">
        <f>IF($B132="","",IF($B132+1&gt;'Qredits maandlasten'!$C$7,"",EOMONTH(C132,0)+1))</f>
        <v/>
      </c>
      <c r="D133" s="418"/>
      <c r="E133" s="420" t="str">
        <f>IF($B132="","",IF($B132+1&gt;'Qredits maandlasten'!$C$7,"",F132+1))</f>
        <v/>
      </c>
      <c r="F133" s="420" t="str">
        <f>IF($B132="","",IF($B132+1&gt;'Qredits maandlasten'!$C$7,"",EOMONTH(C133,-1)))</f>
        <v/>
      </c>
      <c r="G133" s="421" t="str">
        <f>IF($B132="","",IF($B132+1&gt;'Qredits maandlasten'!$C$7,"",(_xlfn.DAYS(F133,E133)+1)/DAY(F133)))</f>
        <v/>
      </c>
      <c r="H133" s="422"/>
      <c r="I133" s="423" t="str">
        <f>IF($B132="","",IF($B132+1&gt;'Qredits maandlasten'!$C$7,"",I132-J132))</f>
        <v/>
      </c>
      <c r="J133" s="423" t="str">
        <f>IF($B132="","",IF($B132+1&gt;'Qredits maandlasten'!$C$7,"",IF(B132&lt;'Investering &amp; Financiering'!$E$52-1,0,IF('Qredits maandlasten'!$C$10="Lineair",'Qredits maandlasten'!$H$4,IF('Qredits maandlasten'!$C$10="Annuïteit",IFERROR('Qredits maandlasten'!$H$4-K133,0),0)))))</f>
        <v/>
      </c>
      <c r="K133" s="423" t="str">
        <f>IF($B132="","",IF($B132+1&gt;'Qredits maandlasten'!$C$7,"",G133*I133*'Qredits maandlasten'!$C$8/12))</f>
        <v/>
      </c>
      <c r="L133" s="423" t="str">
        <f t="shared" si="7"/>
        <v/>
      </c>
      <c r="M133" s="423" t="str">
        <f t="shared" si="5"/>
        <v/>
      </c>
      <c r="N133" s="422"/>
      <c r="O133" s="424" t="str">
        <f>IF($B133="","",'Qredits maandlasten'!$C$8/12)</f>
        <v/>
      </c>
      <c r="P133" s="424" t="str">
        <f>IF($B133="","",'Qredits maandlasten'!$C$8/12*(POWER(1+'Qredits maandlasten'!$C$8/12,$B133-1+1)))</f>
        <v/>
      </c>
      <c r="Q133" s="424" t="str">
        <f t="shared" si="8"/>
        <v/>
      </c>
      <c r="R133" s="422"/>
      <c r="S133" s="423" t="str">
        <f t="shared" si="6"/>
        <v/>
      </c>
      <c r="T133" s="423" t="str">
        <f>IF(S133="","",J133/(POWER(1+'Qredits maandlasten'!$C$8/12,$B133-1+1)))</f>
        <v/>
      </c>
      <c r="U133" s="425" t="str">
        <f t="shared" si="9"/>
        <v/>
      </c>
      <c r="V133" s="423" t="str">
        <f>IF($B133="","",K133/(POWER(1+'Qredits maandlasten'!$C$8/12,$B133-1+1)))</f>
        <v/>
      </c>
      <c r="W133" s="422"/>
    </row>
    <row r="134" spans="1:23" s="427" customFormat="1" x14ac:dyDescent="0.2">
      <c r="A134" s="418"/>
      <c r="B134" s="419" t="str">
        <f>IF($B133="","",IF($B133+1&gt;'Qredits maandlasten'!$C$7,"",Schema!B133+1))</f>
        <v/>
      </c>
      <c r="C134" s="420" t="str">
        <f>IF($B133="","",IF($B133+1&gt;'Qredits maandlasten'!$C$7,"",EOMONTH(C133,0)+1))</f>
        <v/>
      </c>
      <c r="D134" s="418"/>
      <c r="E134" s="420" t="str">
        <f>IF($B133="","",IF($B133+1&gt;'Qredits maandlasten'!$C$7,"",F133+1))</f>
        <v/>
      </c>
      <c r="F134" s="420" t="str">
        <f>IF($B133="","",IF($B133+1&gt;'Qredits maandlasten'!$C$7,"",EOMONTH(C134,-1)))</f>
        <v/>
      </c>
      <c r="G134" s="421" t="str">
        <f>IF($B133="","",IF($B133+1&gt;'Qredits maandlasten'!$C$7,"",(_xlfn.DAYS(F134,E134)+1)/DAY(F134)))</f>
        <v/>
      </c>
      <c r="H134" s="422"/>
      <c r="I134" s="423" t="str">
        <f>IF($B133="","",IF($B133+1&gt;'Qredits maandlasten'!$C$7,"",I133-J133))</f>
        <v/>
      </c>
      <c r="J134" s="423" t="str">
        <f>IF($B133="","",IF($B133+1&gt;'Qredits maandlasten'!$C$7,"",IF(B133&lt;'Investering &amp; Financiering'!$E$52-1,0,IF('Qredits maandlasten'!$C$10="Lineair",'Qredits maandlasten'!$H$4,IF('Qredits maandlasten'!$C$10="Annuïteit",IFERROR('Qredits maandlasten'!$H$4-K134,0),0)))))</f>
        <v/>
      </c>
      <c r="K134" s="423" t="str">
        <f>IF($B133="","",IF($B133+1&gt;'Qredits maandlasten'!$C$7,"",G134*I134*'Qredits maandlasten'!$C$8/12))</f>
        <v/>
      </c>
      <c r="L134" s="423" t="str">
        <f t="shared" si="7"/>
        <v/>
      </c>
      <c r="M134" s="423" t="str">
        <f t="shared" si="5"/>
        <v/>
      </c>
      <c r="N134" s="422"/>
      <c r="O134" s="424" t="str">
        <f>IF($B134="","",'Qredits maandlasten'!$C$8/12)</f>
        <v/>
      </c>
      <c r="P134" s="424" t="str">
        <f>IF($B134="","",'Qredits maandlasten'!$C$8/12*(POWER(1+'Qredits maandlasten'!$C$8/12,$B134-1+1)))</f>
        <v/>
      </c>
      <c r="Q134" s="424" t="str">
        <f t="shared" si="8"/>
        <v/>
      </c>
      <c r="R134" s="422"/>
      <c r="S134" s="423" t="str">
        <f t="shared" si="6"/>
        <v/>
      </c>
      <c r="T134" s="423" t="str">
        <f>IF(S134="","",J134/(POWER(1+'Qredits maandlasten'!$C$8/12,$B134-1+1)))</f>
        <v/>
      </c>
      <c r="U134" s="425" t="str">
        <f t="shared" si="9"/>
        <v/>
      </c>
      <c r="V134" s="423" t="str">
        <f>IF($B134="","",K134/(POWER(1+'Qredits maandlasten'!$C$8/12,$B134-1+1)))</f>
        <v/>
      </c>
      <c r="W134" s="422"/>
    </row>
    <row r="135" spans="1:23" s="427" customFormat="1" x14ac:dyDescent="0.2">
      <c r="A135" s="418"/>
      <c r="B135" s="419" t="str">
        <f>IF($B134="","",IF($B134+1&gt;'Qredits maandlasten'!$C$7,"",Schema!B134+1))</f>
        <v/>
      </c>
      <c r="C135" s="420" t="str">
        <f>IF($B134="","",IF($B134+1&gt;'Qredits maandlasten'!$C$7,"",EOMONTH(C134,0)+1))</f>
        <v/>
      </c>
      <c r="D135" s="418"/>
      <c r="E135" s="420" t="str">
        <f>IF($B134="","",IF($B134+1&gt;'Qredits maandlasten'!$C$7,"",F134+1))</f>
        <v/>
      </c>
      <c r="F135" s="420" t="str">
        <f>IF($B134="","",IF($B134+1&gt;'Qredits maandlasten'!$C$7,"",EOMONTH(C135,-1)))</f>
        <v/>
      </c>
      <c r="G135" s="421" t="str">
        <f>IF($B134="","",IF($B134+1&gt;'Qredits maandlasten'!$C$7,"",(_xlfn.DAYS(F135,E135)+1)/DAY(F135)))</f>
        <v/>
      </c>
      <c r="H135" s="422"/>
      <c r="I135" s="423" t="str">
        <f>IF($B134="","",IF($B134+1&gt;'Qredits maandlasten'!$C$7,"",I134-J134))</f>
        <v/>
      </c>
      <c r="J135" s="423" t="str">
        <f>IF($B134="","",IF($B134+1&gt;'Qredits maandlasten'!$C$7,"",IF(B134&lt;'Investering &amp; Financiering'!$E$52-1,0,IF('Qredits maandlasten'!$C$10="Lineair",'Qredits maandlasten'!$H$4,IF('Qredits maandlasten'!$C$10="Annuïteit",IFERROR('Qredits maandlasten'!$H$4-K135,0),0)))))</f>
        <v/>
      </c>
      <c r="K135" s="423" t="str">
        <f>IF($B134="","",IF($B134+1&gt;'Qredits maandlasten'!$C$7,"",G135*I135*'Qredits maandlasten'!$C$8/12))</f>
        <v/>
      </c>
      <c r="L135" s="423" t="str">
        <f t="shared" si="7"/>
        <v/>
      </c>
      <c r="M135" s="423" t="str">
        <f t="shared" si="5"/>
        <v/>
      </c>
      <c r="N135" s="422"/>
      <c r="O135" s="424" t="str">
        <f>IF($B135="","",'Qredits maandlasten'!$C$8/12)</f>
        <v/>
      </c>
      <c r="P135" s="424" t="str">
        <f>IF($B135="","",'Qredits maandlasten'!$C$8/12*(POWER(1+'Qredits maandlasten'!$C$8/12,$B135-1+1)))</f>
        <v/>
      </c>
      <c r="Q135" s="424" t="str">
        <f t="shared" si="8"/>
        <v/>
      </c>
      <c r="R135" s="422"/>
      <c r="S135" s="423" t="str">
        <f t="shared" si="6"/>
        <v/>
      </c>
      <c r="T135" s="423" t="str">
        <f>IF(S135="","",J135/(POWER(1+'Qredits maandlasten'!$C$8/12,$B135-1+1)))</f>
        <v/>
      </c>
      <c r="U135" s="425" t="str">
        <f t="shared" si="9"/>
        <v/>
      </c>
      <c r="V135" s="423" t="str">
        <f>IF($B135="","",K135/(POWER(1+'Qredits maandlasten'!$C$8/12,$B135-1+1)))</f>
        <v/>
      </c>
      <c r="W135" s="422"/>
    </row>
    <row r="136" spans="1:23" s="427" customFormat="1" x14ac:dyDescent="0.2">
      <c r="A136" s="418"/>
      <c r="B136" s="419" t="str">
        <f>IF($B135="","",IF($B135+1&gt;'Qredits maandlasten'!$C$7,"",Schema!B135+1))</f>
        <v/>
      </c>
      <c r="C136" s="420" t="str">
        <f>IF($B135="","",IF($B135+1&gt;'Qredits maandlasten'!$C$7,"",EOMONTH(C135,0)+1))</f>
        <v/>
      </c>
      <c r="D136" s="418"/>
      <c r="E136" s="420" t="str">
        <f>IF($B135="","",IF($B135+1&gt;'Qredits maandlasten'!$C$7,"",F135+1))</f>
        <v/>
      </c>
      <c r="F136" s="420" t="str">
        <f>IF($B135="","",IF($B135+1&gt;'Qredits maandlasten'!$C$7,"",EOMONTH(C136,-1)))</f>
        <v/>
      </c>
      <c r="G136" s="421" t="str">
        <f>IF($B135="","",IF($B135+1&gt;'Qredits maandlasten'!$C$7,"",(_xlfn.DAYS(F136,E136)+1)/DAY(F136)))</f>
        <v/>
      </c>
      <c r="H136" s="422"/>
      <c r="I136" s="423" t="str">
        <f>IF($B135="","",IF($B135+1&gt;'Qredits maandlasten'!$C$7,"",I135-J135))</f>
        <v/>
      </c>
      <c r="J136" s="423" t="str">
        <f>IF($B135="","",IF($B135+1&gt;'Qredits maandlasten'!$C$7,"",IF(B135&lt;'Investering &amp; Financiering'!$E$52-1,0,IF('Qredits maandlasten'!$C$10="Lineair",'Qredits maandlasten'!$H$4,IF('Qredits maandlasten'!$C$10="Annuïteit",IFERROR('Qredits maandlasten'!$H$4-K136,0),0)))))</f>
        <v/>
      </c>
      <c r="K136" s="423" t="str">
        <f>IF($B135="","",IF($B135+1&gt;'Qredits maandlasten'!$C$7,"",G136*I136*'Qredits maandlasten'!$C$8/12))</f>
        <v/>
      </c>
      <c r="L136" s="423" t="str">
        <f t="shared" si="7"/>
        <v/>
      </c>
      <c r="M136" s="423" t="str">
        <f t="shared" si="5"/>
        <v/>
      </c>
      <c r="N136" s="422"/>
      <c r="O136" s="424" t="str">
        <f>IF($B136="","",'Qredits maandlasten'!$C$8/12)</f>
        <v/>
      </c>
      <c r="P136" s="424" t="str">
        <f>IF($B136="","",'Qredits maandlasten'!$C$8/12*(POWER(1+'Qredits maandlasten'!$C$8/12,$B136-1+1)))</f>
        <v/>
      </c>
      <c r="Q136" s="424" t="str">
        <f t="shared" si="8"/>
        <v/>
      </c>
      <c r="R136" s="422"/>
      <c r="S136" s="423" t="str">
        <f t="shared" si="6"/>
        <v/>
      </c>
      <c r="T136" s="423" t="str">
        <f>IF(S136="","",J136/(POWER(1+'Qredits maandlasten'!$C$8/12,$B136-1+1)))</f>
        <v/>
      </c>
      <c r="U136" s="425" t="str">
        <f t="shared" si="9"/>
        <v/>
      </c>
      <c r="V136" s="423" t="str">
        <f>IF($B136="","",K136/(POWER(1+'Qredits maandlasten'!$C$8/12,$B136-1+1)))</f>
        <v/>
      </c>
      <c r="W136" s="422"/>
    </row>
    <row r="137" spans="1:23" s="427" customFormat="1" x14ac:dyDescent="0.2">
      <c r="A137" s="418"/>
      <c r="B137" s="419" t="str">
        <f>IF($B136="","",IF($B136+1&gt;'Qredits maandlasten'!$C$7,"",Schema!B136+1))</f>
        <v/>
      </c>
      <c r="C137" s="420" t="str">
        <f>IF($B136="","",IF($B136+1&gt;'Qredits maandlasten'!$C$7,"",EOMONTH(C136,0)+1))</f>
        <v/>
      </c>
      <c r="D137" s="418"/>
      <c r="E137" s="420" t="str">
        <f>IF($B136="","",IF($B136+1&gt;'Qredits maandlasten'!$C$7,"",F136+1))</f>
        <v/>
      </c>
      <c r="F137" s="420" t="str">
        <f>IF($B136="","",IF($B136+1&gt;'Qredits maandlasten'!$C$7,"",EOMONTH(C137,-1)))</f>
        <v/>
      </c>
      <c r="G137" s="421" t="str">
        <f>IF($B136="","",IF($B136+1&gt;'Qredits maandlasten'!$C$7,"",(_xlfn.DAYS(F137,E137)+1)/DAY(F137)))</f>
        <v/>
      </c>
      <c r="H137" s="422"/>
      <c r="I137" s="423" t="str">
        <f>IF($B136="","",IF($B136+1&gt;'Qredits maandlasten'!$C$7,"",I136-J136))</f>
        <v/>
      </c>
      <c r="J137" s="423" t="str">
        <f>IF($B136="","",IF($B136+1&gt;'Qredits maandlasten'!$C$7,"",IF(B136&lt;'Investering &amp; Financiering'!$E$52-1,0,IF('Qredits maandlasten'!$C$10="Lineair",'Qredits maandlasten'!$H$4,IF('Qredits maandlasten'!$C$10="Annuïteit",IFERROR('Qredits maandlasten'!$H$4-K137,0),0)))))</f>
        <v/>
      </c>
      <c r="K137" s="423" t="str">
        <f>IF($B136="","",IF($B136+1&gt;'Qredits maandlasten'!$C$7,"",G137*I137*'Qredits maandlasten'!$C$8/12))</f>
        <v/>
      </c>
      <c r="L137" s="423" t="str">
        <f t="shared" si="7"/>
        <v/>
      </c>
      <c r="M137" s="423" t="str">
        <f t="shared" si="5"/>
        <v/>
      </c>
      <c r="N137" s="422"/>
      <c r="O137" s="424" t="str">
        <f>IF($B137="","",'Qredits maandlasten'!$C$8/12)</f>
        <v/>
      </c>
      <c r="P137" s="424" t="str">
        <f>IF($B137="","",'Qredits maandlasten'!$C$8/12*(POWER(1+'Qredits maandlasten'!$C$8/12,$B137-1+1)))</f>
        <v/>
      </c>
      <c r="Q137" s="424" t="str">
        <f t="shared" si="8"/>
        <v/>
      </c>
      <c r="R137" s="422"/>
      <c r="S137" s="423" t="str">
        <f t="shared" si="6"/>
        <v/>
      </c>
      <c r="T137" s="423" t="str">
        <f>IF(S137="","",J137/(POWER(1+'Qredits maandlasten'!$C$8/12,$B137-1+1)))</f>
        <v/>
      </c>
      <c r="U137" s="425" t="str">
        <f t="shared" si="9"/>
        <v/>
      </c>
      <c r="V137" s="423" t="str">
        <f>IF($B137="","",K137/(POWER(1+'Qredits maandlasten'!$C$8/12,$B137-1+1)))</f>
        <v/>
      </c>
      <c r="W137" s="422"/>
    </row>
    <row r="138" spans="1:23" s="427" customFormat="1" x14ac:dyDescent="0.2">
      <c r="A138" s="418"/>
      <c r="B138" s="419" t="str">
        <f>IF($B137="","",IF($B137+1&gt;'Qredits maandlasten'!$C$7,"",Schema!B137+1))</f>
        <v/>
      </c>
      <c r="C138" s="420" t="str">
        <f>IF($B137="","",IF($B137+1&gt;'Qredits maandlasten'!$C$7,"",EOMONTH(C137,0)+1))</f>
        <v/>
      </c>
      <c r="D138" s="418"/>
      <c r="E138" s="420" t="str">
        <f>IF($B137="","",IF($B137+1&gt;'Qredits maandlasten'!$C$7,"",F137+1))</f>
        <v/>
      </c>
      <c r="F138" s="420" t="str">
        <f>IF($B137="","",IF($B137+1&gt;'Qredits maandlasten'!$C$7,"",EOMONTH(C138,-1)))</f>
        <v/>
      </c>
      <c r="G138" s="421" t="str">
        <f>IF($B137="","",IF($B137+1&gt;'Qredits maandlasten'!$C$7,"",(_xlfn.DAYS(F138,E138)+1)/DAY(F138)))</f>
        <v/>
      </c>
      <c r="H138" s="422"/>
      <c r="I138" s="423" t="str">
        <f>IF($B137="","",IF($B137+1&gt;'Qredits maandlasten'!$C$7,"",I137-J137))</f>
        <v/>
      </c>
      <c r="J138" s="423" t="str">
        <f>IF($B137="","",IF($B137+1&gt;'Qredits maandlasten'!$C$7,"",IF(B137&lt;'Investering &amp; Financiering'!$E$52-1,0,IF('Qredits maandlasten'!$C$10="Lineair",'Qredits maandlasten'!$H$4,IF('Qredits maandlasten'!$C$10="Annuïteit",IFERROR('Qredits maandlasten'!$H$4-K138,0),0)))))</f>
        <v/>
      </c>
      <c r="K138" s="423" t="str">
        <f>IF($B137="","",IF($B137+1&gt;'Qredits maandlasten'!$C$7,"",G138*I138*'Qredits maandlasten'!$C$8/12))</f>
        <v/>
      </c>
      <c r="L138" s="423" t="str">
        <f t="shared" si="7"/>
        <v/>
      </c>
      <c r="M138" s="423" t="str">
        <f t="shared" ref="M138:M201" si="10">IF(S138="","",-K138-J138)</f>
        <v/>
      </c>
      <c r="N138" s="422"/>
      <c r="O138" s="424" t="str">
        <f>IF($B138="","",'Qredits maandlasten'!$C$8/12)</f>
        <v/>
      </c>
      <c r="P138" s="424" t="str">
        <f>IF($B138="","",'Qredits maandlasten'!$C$8/12*(POWER(1+'Qredits maandlasten'!$C$8/12,$B138-1+1)))</f>
        <v/>
      </c>
      <c r="Q138" s="424" t="str">
        <f t="shared" si="8"/>
        <v/>
      </c>
      <c r="R138" s="422"/>
      <c r="S138" s="423" t="str">
        <f t="shared" ref="S138:S201" si="11">IF(B138="","",IF(S137-T137&lt;0,"",S137-T137))</f>
        <v/>
      </c>
      <c r="T138" s="423" t="str">
        <f>IF(S138="","",J138/(POWER(1+'Qredits maandlasten'!$C$8/12,$B138-1+1)))</f>
        <v/>
      </c>
      <c r="U138" s="425" t="str">
        <f t="shared" si="9"/>
        <v/>
      </c>
      <c r="V138" s="423" t="str">
        <f>IF($B138="","",K138/(POWER(1+'Qredits maandlasten'!$C$8/12,$B138-1+1)))</f>
        <v/>
      </c>
      <c r="W138" s="422"/>
    </row>
    <row r="139" spans="1:23" s="427" customFormat="1" x14ac:dyDescent="0.2">
      <c r="A139" s="418"/>
      <c r="B139" s="419" t="str">
        <f>IF($B138="","",IF($B138+1&gt;'Qredits maandlasten'!$C$7,"",Schema!B138+1))</f>
        <v/>
      </c>
      <c r="C139" s="420" t="str">
        <f>IF($B138="","",IF($B138+1&gt;'Qredits maandlasten'!$C$7,"",EOMONTH(C138,0)+1))</f>
        <v/>
      </c>
      <c r="D139" s="418"/>
      <c r="E139" s="420" t="str">
        <f>IF($B138="","",IF($B138+1&gt;'Qredits maandlasten'!$C$7,"",F138+1))</f>
        <v/>
      </c>
      <c r="F139" s="420" t="str">
        <f>IF($B138="","",IF($B138+1&gt;'Qredits maandlasten'!$C$7,"",EOMONTH(C139,-1)))</f>
        <v/>
      </c>
      <c r="G139" s="421" t="str">
        <f>IF($B138="","",IF($B138+1&gt;'Qredits maandlasten'!$C$7,"",(_xlfn.DAYS(F139,E139)+1)/DAY(F139)))</f>
        <v/>
      </c>
      <c r="H139" s="422"/>
      <c r="I139" s="423" t="str">
        <f>IF($B138="","",IF($B138+1&gt;'Qredits maandlasten'!$C$7,"",I138-J138))</f>
        <v/>
      </c>
      <c r="J139" s="423" t="str">
        <f>IF($B138="","",IF($B138+1&gt;'Qredits maandlasten'!$C$7,"",IF(B138&lt;'Investering &amp; Financiering'!$E$52-1,0,IF('Qredits maandlasten'!$C$10="Lineair",'Qredits maandlasten'!$H$4,IF('Qredits maandlasten'!$C$10="Annuïteit",IFERROR('Qredits maandlasten'!$H$4-K139,0),0)))))</f>
        <v/>
      </c>
      <c r="K139" s="423" t="str">
        <f>IF($B138="","",IF($B138+1&gt;'Qredits maandlasten'!$C$7,"",G139*I139*'Qredits maandlasten'!$C$8/12))</f>
        <v/>
      </c>
      <c r="L139" s="423" t="str">
        <f t="shared" ref="L139:L202" si="12">IF(S139="","",-K139-J139)</f>
        <v/>
      </c>
      <c r="M139" s="423" t="str">
        <f t="shared" si="10"/>
        <v/>
      </c>
      <c r="N139" s="422"/>
      <c r="O139" s="424" t="str">
        <f>IF($B139="","",'Qredits maandlasten'!$C$8/12)</f>
        <v/>
      </c>
      <c r="P139" s="424" t="str">
        <f>IF($B139="","",'Qredits maandlasten'!$C$8/12*(POWER(1+'Qredits maandlasten'!$C$8/12,$B139-1+1)))</f>
        <v/>
      </c>
      <c r="Q139" s="424" t="str">
        <f t="shared" ref="Q139:Q202" si="13">IF($B139="","",IFERROR(J139/T139-1,0))</f>
        <v/>
      </c>
      <c r="R139" s="422"/>
      <c r="S139" s="423" t="str">
        <f t="shared" si="11"/>
        <v/>
      </c>
      <c r="T139" s="423" t="str">
        <f>IF(S139="","",J139/(POWER(1+'Qredits maandlasten'!$C$8/12,$B139-1+1)))</f>
        <v/>
      </c>
      <c r="U139" s="425" t="str">
        <f t="shared" ref="U139:U202" si="14">IF(S139="","",T139+V139)</f>
        <v/>
      </c>
      <c r="V139" s="423" t="str">
        <f>IF($B139="","",K139/(POWER(1+'Qredits maandlasten'!$C$8/12,$B139-1+1)))</f>
        <v/>
      </c>
      <c r="W139" s="422"/>
    </row>
    <row r="140" spans="1:23" s="427" customFormat="1" x14ac:dyDescent="0.2">
      <c r="A140" s="418"/>
      <c r="B140" s="419" t="str">
        <f>IF($B139="","",IF($B139+1&gt;'Qredits maandlasten'!$C$7,"",Schema!B139+1))</f>
        <v/>
      </c>
      <c r="C140" s="420" t="str">
        <f>IF($B139="","",IF($B139+1&gt;'Qredits maandlasten'!$C$7,"",EOMONTH(C139,0)+1))</f>
        <v/>
      </c>
      <c r="D140" s="418"/>
      <c r="E140" s="420" t="str">
        <f>IF($B139="","",IF($B139+1&gt;'Qredits maandlasten'!$C$7,"",F139+1))</f>
        <v/>
      </c>
      <c r="F140" s="420" t="str">
        <f>IF($B139="","",IF($B139+1&gt;'Qredits maandlasten'!$C$7,"",EOMONTH(C140,-1)))</f>
        <v/>
      </c>
      <c r="G140" s="421" t="str">
        <f>IF($B139="","",IF($B139+1&gt;'Qredits maandlasten'!$C$7,"",(_xlfn.DAYS(F140,E140)+1)/DAY(F140)))</f>
        <v/>
      </c>
      <c r="H140" s="422"/>
      <c r="I140" s="423" t="str">
        <f>IF($B139="","",IF($B139+1&gt;'Qredits maandlasten'!$C$7,"",I139-J139))</f>
        <v/>
      </c>
      <c r="J140" s="423" t="str">
        <f>IF($B139="","",IF($B139+1&gt;'Qredits maandlasten'!$C$7,"",IF(B139&lt;'Investering &amp; Financiering'!$E$52-1,0,IF('Qredits maandlasten'!$C$10="Lineair",'Qredits maandlasten'!$H$4,IF('Qredits maandlasten'!$C$10="Annuïteit",IFERROR('Qredits maandlasten'!$H$4-K140,0),0)))))</f>
        <v/>
      </c>
      <c r="K140" s="423" t="str">
        <f>IF($B139="","",IF($B139+1&gt;'Qredits maandlasten'!$C$7,"",G140*I140*'Qredits maandlasten'!$C$8/12))</f>
        <v/>
      </c>
      <c r="L140" s="423" t="str">
        <f t="shared" si="12"/>
        <v/>
      </c>
      <c r="M140" s="423" t="str">
        <f t="shared" si="10"/>
        <v/>
      </c>
      <c r="N140" s="422"/>
      <c r="O140" s="424" t="str">
        <f>IF($B140="","",'Qredits maandlasten'!$C$8/12)</f>
        <v/>
      </c>
      <c r="P140" s="424" t="str">
        <f>IF($B140="","",'Qredits maandlasten'!$C$8/12*(POWER(1+'Qredits maandlasten'!$C$8/12,$B140-1+1)))</f>
        <v/>
      </c>
      <c r="Q140" s="424" t="str">
        <f t="shared" si="13"/>
        <v/>
      </c>
      <c r="R140" s="422"/>
      <c r="S140" s="423" t="str">
        <f t="shared" si="11"/>
        <v/>
      </c>
      <c r="T140" s="423" t="str">
        <f>IF(S140="","",J140/(POWER(1+'Qredits maandlasten'!$C$8/12,$B140-1+1)))</f>
        <v/>
      </c>
      <c r="U140" s="425" t="str">
        <f t="shared" si="14"/>
        <v/>
      </c>
      <c r="V140" s="423" t="str">
        <f>IF($B140="","",K140/(POWER(1+'Qredits maandlasten'!$C$8/12,$B140-1+1)))</f>
        <v/>
      </c>
      <c r="W140" s="422"/>
    </row>
    <row r="141" spans="1:23" s="427" customFormat="1" x14ac:dyDescent="0.2">
      <c r="A141" s="418"/>
      <c r="B141" s="419" t="str">
        <f>IF($B140="","",IF($B140+1&gt;'Qredits maandlasten'!$C$7,"",Schema!B140+1))</f>
        <v/>
      </c>
      <c r="C141" s="420" t="str">
        <f>IF($B140="","",IF($B140+1&gt;'Qredits maandlasten'!$C$7,"",EOMONTH(C140,0)+1))</f>
        <v/>
      </c>
      <c r="D141" s="418"/>
      <c r="E141" s="420" t="str">
        <f>IF($B140="","",IF($B140+1&gt;'Qredits maandlasten'!$C$7,"",F140+1))</f>
        <v/>
      </c>
      <c r="F141" s="420" t="str">
        <f>IF($B140="","",IF($B140+1&gt;'Qredits maandlasten'!$C$7,"",EOMONTH(C141,-1)))</f>
        <v/>
      </c>
      <c r="G141" s="421" t="str">
        <f>IF($B140="","",IF($B140+1&gt;'Qredits maandlasten'!$C$7,"",(_xlfn.DAYS(F141,E141)+1)/DAY(F141)))</f>
        <v/>
      </c>
      <c r="H141" s="422"/>
      <c r="I141" s="423" t="str">
        <f>IF($B140="","",IF($B140+1&gt;'Qredits maandlasten'!$C$7,"",I140-J140))</f>
        <v/>
      </c>
      <c r="J141" s="423" t="str">
        <f>IF($B140="","",IF($B140+1&gt;'Qredits maandlasten'!$C$7,"",IF(B140&lt;'Investering &amp; Financiering'!$E$52-1,0,IF('Qredits maandlasten'!$C$10="Lineair",'Qredits maandlasten'!$H$4,IF('Qredits maandlasten'!$C$10="Annuïteit",IFERROR('Qredits maandlasten'!$H$4-K141,0),0)))))</f>
        <v/>
      </c>
      <c r="K141" s="423" t="str">
        <f>IF($B140="","",IF($B140+1&gt;'Qredits maandlasten'!$C$7,"",G141*I141*'Qredits maandlasten'!$C$8/12))</f>
        <v/>
      </c>
      <c r="L141" s="423" t="str">
        <f t="shared" si="12"/>
        <v/>
      </c>
      <c r="M141" s="423" t="str">
        <f t="shared" si="10"/>
        <v/>
      </c>
      <c r="N141" s="422"/>
      <c r="O141" s="424" t="str">
        <f>IF($B141="","",'Qredits maandlasten'!$C$8/12)</f>
        <v/>
      </c>
      <c r="P141" s="424" t="str">
        <f>IF($B141="","",'Qredits maandlasten'!$C$8/12*(POWER(1+'Qredits maandlasten'!$C$8/12,$B141-1+1)))</f>
        <v/>
      </c>
      <c r="Q141" s="424" t="str">
        <f t="shared" si="13"/>
        <v/>
      </c>
      <c r="R141" s="422"/>
      <c r="S141" s="423" t="str">
        <f t="shared" si="11"/>
        <v/>
      </c>
      <c r="T141" s="423" t="str">
        <f>IF(S141="","",J141/(POWER(1+'Qredits maandlasten'!$C$8/12,$B141-1+1)))</f>
        <v/>
      </c>
      <c r="U141" s="425" t="str">
        <f t="shared" si="14"/>
        <v/>
      </c>
      <c r="V141" s="423" t="str">
        <f>IF($B141="","",K141/(POWER(1+'Qredits maandlasten'!$C$8/12,$B141-1+1)))</f>
        <v/>
      </c>
      <c r="W141" s="422"/>
    </row>
    <row r="142" spans="1:23" s="427" customFormat="1" x14ac:dyDescent="0.2">
      <c r="A142" s="418"/>
      <c r="B142" s="419" t="str">
        <f>IF($B141="","",IF($B141+1&gt;'Qredits maandlasten'!$C$7,"",Schema!B141+1))</f>
        <v/>
      </c>
      <c r="C142" s="420" t="str">
        <f>IF($B141="","",IF($B141+1&gt;'Qredits maandlasten'!$C$7,"",EOMONTH(C141,0)+1))</f>
        <v/>
      </c>
      <c r="D142" s="418"/>
      <c r="E142" s="420" t="str">
        <f>IF($B141="","",IF($B141+1&gt;'Qredits maandlasten'!$C$7,"",F141+1))</f>
        <v/>
      </c>
      <c r="F142" s="420" t="str">
        <f>IF($B141="","",IF($B141+1&gt;'Qredits maandlasten'!$C$7,"",EOMONTH(C142,-1)))</f>
        <v/>
      </c>
      <c r="G142" s="421" t="str">
        <f>IF($B141="","",IF($B141+1&gt;'Qredits maandlasten'!$C$7,"",(_xlfn.DAYS(F142,E142)+1)/DAY(F142)))</f>
        <v/>
      </c>
      <c r="H142" s="422"/>
      <c r="I142" s="423" t="str">
        <f>IF($B141="","",IF($B141+1&gt;'Qredits maandlasten'!$C$7,"",I141-J141))</f>
        <v/>
      </c>
      <c r="J142" s="423" t="str">
        <f>IF($B141="","",IF($B141+1&gt;'Qredits maandlasten'!$C$7,"",IF(B141&lt;'Investering &amp; Financiering'!$E$52-1,0,IF('Qredits maandlasten'!$C$10="Lineair",'Qredits maandlasten'!$H$4,IF('Qredits maandlasten'!$C$10="Annuïteit",IFERROR('Qredits maandlasten'!$H$4-K142,0),0)))))</f>
        <v/>
      </c>
      <c r="K142" s="423" t="str">
        <f>IF($B141="","",IF($B141+1&gt;'Qredits maandlasten'!$C$7,"",G142*I142*'Qredits maandlasten'!$C$8/12))</f>
        <v/>
      </c>
      <c r="L142" s="423" t="str">
        <f t="shared" si="12"/>
        <v/>
      </c>
      <c r="M142" s="423" t="str">
        <f t="shared" si="10"/>
        <v/>
      </c>
      <c r="N142" s="422"/>
      <c r="O142" s="424" t="str">
        <f>IF($B142="","",'Qredits maandlasten'!$C$8/12)</f>
        <v/>
      </c>
      <c r="P142" s="424" t="str">
        <f>IF($B142="","",'Qredits maandlasten'!$C$8/12*(POWER(1+'Qredits maandlasten'!$C$8/12,$B142-1+1)))</f>
        <v/>
      </c>
      <c r="Q142" s="424" t="str">
        <f t="shared" si="13"/>
        <v/>
      </c>
      <c r="R142" s="422"/>
      <c r="S142" s="423" t="str">
        <f t="shared" si="11"/>
        <v/>
      </c>
      <c r="T142" s="423" t="str">
        <f>IF(S142="","",J142/(POWER(1+'Qredits maandlasten'!$C$8/12,$B142-1+1)))</f>
        <v/>
      </c>
      <c r="U142" s="425" t="str">
        <f t="shared" si="14"/>
        <v/>
      </c>
      <c r="V142" s="423" t="str">
        <f>IF($B142="","",K142/(POWER(1+'Qredits maandlasten'!$C$8/12,$B142-1+1)))</f>
        <v/>
      </c>
      <c r="W142" s="422"/>
    </row>
    <row r="143" spans="1:23" s="427" customFormat="1" x14ac:dyDescent="0.2">
      <c r="A143" s="418"/>
      <c r="B143" s="419" t="str">
        <f>IF($B142="","",IF($B142+1&gt;'Qredits maandlasten'!$C$7,"",Schema!B142+1))</f>
        <v/>
      </c>
      <c r="C143" s="420" t="str">
        <f>IF($B142="","",IF($B142+1&gt;'Qredits maandlasten'!$C$7,"",EOMONTH(C142,0)+1))</f>
        <v/>
      </c>
      <c r="D143" s="418"/>
      <c r="E143" s="420" t="str">
        <f>IF($B142="","",IF($B142+1&gt;'Qredits maandlasten'!$C$7,"",F142+1))</f>
        <v/>
      </c>
      <c r="F143" s="420" t="str">
        <f>IF($B142="","",IF($B142+1&gt;'Qredits maandlasten'!$C$7,"",EOMONTH(C143,-1)))</f>
        <v/>
      </c>
      <c r="G143" s="421" t="str">
        <f>IF($B142="","",IF($B142+1&gt;'Qredits maandlasten'!$C$7,"",(_xlfn.DAYS(F143,E143)+1)/DAY(F143)))</f>
        <v/>
      </c>
      <c r="H143" s="422"/>
      <c r="I143" s="423" t="str">
        <f>IF($B142="","",IF($B142+1&gt;'Qredits maandlasten'!$C$7,"",I142-J142))</f>
        <v/>
      </c>
      <c r="J143" s="423" t="str">
        <f>IF($B142="","",IF($B142+1&gt;'Qredits maandlasten'!$C$7,"",IF(B142&lt;'Investering &amp; Financiering'!$E$52-1,0,IF('Qredits maandlasten'!$C$10="Lineair",'Qredits maandlasten'!$H$4,IF('Qredits maandlasten'!$C$10="Annuïteit",IFERROR('Qredits maandlasten'!$H$4-K143,0),0)))))</f>
        <v/>
      </c>
      <c r="K143" s="423" t="str">
        <f>IF($B142="","",IF($B142+1&gt;'Qredits maandlasten'!$C$7,"",G143*I143*'Qredits maandlasten'!$C$8/12))</f>
        <v/>
      </c>
      <c r="L143" s="423" t="str">
        <f t="shared" si="12"/>
        <v/>
      </c>
      <c r="M143" s="423" t="str">
        <f t="shared" si="10"/>
        <v/>
      </c>
      <c r="N143" s="422"/>
      <c r="O143" s="424" t="str">
        <f>IF($B143="","",'Qredits maandlasten'!$C$8/12)</f>
        <v/>
      </c>
      <c r="P143" s="424" t="str">
        <f>IF($B143="","",'Qredits maandlasten'!$C$8/12*(POWER(1+'Qredits maandlasten'!$C$8/12,$B143-1+1)))</f>
        <v/>
      </c>
      <c r="Q143" s="424" t="str">
        <f t="shared" si="13"/>
        <v/>
      </c>
      <c r="R143" s="422"/>
      <c r="S143" s="423" t="str">
        <f t="shared" si="11"/>
        <v/>
      </c>
      <c r="T143" s="423" t="str">
        <f>IF(S143="","",J143/(POWER(1+'Qredits maandlasten'!$C$8/12,$B143-1+1)))</f>
        <v/>
      </c>
      <c r="U143" s="425" t="str">
        <f t="shared" si="14"/>
        <v/>
      </c>
      <c r="V143" s="423" t="str">
        <f>IF($B143="","",K143/(POWER(1+'Qredits maandlasten'!$C$8/12,$B143-1+1)))</f>
        <v/>
      </c>
      <c r="W143" s="422"/>
    </row>
    <row r="144" spans="1:23" s="427" customFormat="1" x14ac:dyDescent="0.2">
      <c r="A144" s="418"/>
      <c r="B144" s="419" t="str">
        <f>IF($B143="","",IF($B143+1&gt;'Qredits maandlasten'!$C$7,"",Schema!B143+1))</f>
        <v/>
      </c>
      <c r="C144" s="420" t="str">
        <f>IF($B143="","",IF($B143+1&gt;'Qredits maandlasten'!$C$7,"",EOMONTH(C143,0)+1))</f>
        <v/>
      </c>
      <c r="D144" s="418"/>
      <c r="E144" s="420" t="str">
        <f>IF($B143="","",IF($B143+1&gt;'Qredits maandlasten'!$C$7,"",F143+1))</f>
        <v/>
      </c>
      <c r="F144" s="420" t="str">
        <f>IF($B143="","",IF($B143+1&gt;'Qredits maandlasten'!$C$7,"",EOMONTH(C144,-1)))</f>
        <v/>
      </c>
      <c r="G144" s="421" t="str">
        <f>IF($B143="","",IF($B143+1&gt;'Qredits maandlasten'!$C$7,"",(_xlfn.DAYS(F144,E144)+1)/DAY(F144)))</f>
        <v/>
      </c>
      <c r="H144" s="422"/>
      <c r="I144" s="423" t="str">
        <f>IF($B143="","",IF($B143+1&gt;'Qredits maandlasten'!$C$7,"",I143-J143))</f>
        <v/>
      </c>
      <c r="J144" s="423" t="str">
        <f>IF($B143="","",IF($B143+1&gt;'Qredits maandlasten'!$C$7,"",IF(B143&lt;'Investering &amp; Financiering'!$E$52-1,0,IF('Qredits maandlasten'!$C$10="Lineair",'Qredits maandlasten'!$H$4,IF('Qredits maandlasten'!$C$10="Annuïteit",IFERROR('Qredits maandlasten'!$H$4-K144,0),0)))))</f>
        <v/>
      </c>
      <c r="K144" s="423" t="str">
        <f>IF($B143="","",IF($B143+1&gt;'Qredits maandlasten'!$C$7,"",G144*I144*'Qredits maandlasten'!$C$8/12))</f>
        <v/>
      </c>
      <c r="L144" s="423" t="str">
        <f t="shared" si="12"/>
        <v/>
      </c>
      <c r="M144" s="423" t="str">
        <f t="shared" si="10"/>
        <v/>
      </c>
      <c r="N144" s="422"/>
      <c r="O144" s="424" t="str">
        <f>IF($B144="","",'Qredits maandlasten'!$C$8/12)</f>
        <v/>
      </c>
      <c r="P144" s="424" t="str">
        <f>IF($B144="","",'Qredits maandlasten'!$C$8/12*(POWER(1+'Qredits maandlasten'!$C$8/12,$B144-1+1)))</f>
        <v/>
      </c>
      <c r="Q144" s="424" t="str">
        <f t="shared" si="13"/>
        <v/>
      </c>
      <c r="R144" s="422"/>
      <c r="S144" s="423" t="str">
        <f t="shared" si="11"/>
        <v/>
      </c>
      <c r="T144" s="423" t="str">
        <f>IF(S144="","",J144/(POWER(1+'Qredits maandlasten'!$C$8/12,$B144-1+1)))</f>
        <v/>
      </c>
      <c r="U144" s="425" t="str">
        <f t="shared" si="14"/>
        <v/>
      </c>
      <c r="V144" s="423" t="str">
        <f>IF($B144="","",K144/(POWER(1+'Qredits maandlasten'!$C$8/12,$B144-1+1)))</f>
        <v/>
      </c>
      <c r="W144" s="422"/>
    </row>
    <row r="145" spans="1:23" s="427" customFormat="1" x14ac:dyDescent="0.2">
      <c r="A145" s="418"/>
      <c r="B145" s="419" t="str">
        <f>IF($B144="","",IF($B144+1&gt;'Qredits maandlasten'!$C$7,"",Schema!B144+1))</f>
        <v/>
      </c>
      <c r="C145" s="420" t="str">
        <f>IF($B144="","",IF($B144+1&gt;'Qredits maandlasten'!$C$7,"",EOMONTH(C144,0)+1))</f>
        <v/>
      </c>
      <c r="D145" s="418"/>
      <c r="E145" s="420" t="str">
        <f>IF($B144="","",IF($B144+1&gt;'Qredits maandlasten'!$C$7,"",F144+1))</f>
        <v/>
      </c>
      <c r="F145" s="420" t="str">
        <f>IF($B144="","",IF($B144+1&gt;'Qredits maandlasten'!$C$7,"",EOMONTH(C145,-1)))</f>
        <v/>
      </c>
      <c r="G145" s="421" t="str">
        <f>IF($B144="","",IF($B144+1&gt;'Qredits maandlasten'!$C$7,"",(_xlfn.DAYS(F145,E145)+1)/DAY(F145)))</f>
        <v/>
      </c>
      <c r="H145" s="422"/>
      <c r="I145" s="423" t="str">
        <f>IF($B144="","",IF($B144+1&gt;'Qredits maandlasten'!$C$7,"",I144-J144))</f>
        <v/>
      </c>
      <c r="J145" s="423" t="str">
        <f>IF($B144="","",IF($B144+1&gt;'Qredits maandlasten'!$C$7,"",IF(B144&lt;'Investering &amp; Financiering'!$E$52-1,0,IF('Qredits maandlasten'!$C$10="Lineair",'Qredits maandlasten'!$H$4,IF('Qredits maandlasten'!$C$10="Annuïteit",IFERROR('Qredits maandlasten'!$H$4-K145,0),0)))))</f>
        <v/>
      </c>
      <c r="K145" s="423" t="str">
        <f>IF($B144="","",IF($B144+1&gt;'Qredits maandlasten'!$C$7,"",G145*I145*'Qredits maandlasten'!$C$8/12))</f>
        <v/>
      </c>
      <c r="L145" s="423" t="str">
        <f t="shared" si="12"/>
        <v/>
      </c>
      <c r="M145" s="423" t="str">
        <f t="shared" si="10"/>
        <v/>
      </c>
      <c r="N145" s="422"/>
      <c r="O145" s="424" t="str">
        <f>IF($B145="","",'Qredits maandlasten'!$C$8/12)</f>
        <v/>
      </c>
      <c r="P145" s="424" t="str">
        <f>IF($B145="","",'Qredits maandlasten'!$C$8/12*(POWER(1+'Qredits maandlasten'!$C$8/12,$B145-1+1)))</f>
        <v/>
      </c>
      <c r="Q145" s="424" t="str">
        <f t="shared" si="13"/>
        <v/>
      </c>
      <c r="R145" s="422"/>
      <c r="S145" s="423" t="str">
        <f t="shared" si="11"/>
        <v/>
      </c>
      <c r="T145" s="423" t="str">
        <f>IF(S145="","",J145/(POWER(1+'Qredits maandlasten'!$C$8/12,$B145-1+1)))</f>
        <v/>
      </c>
      <c r="U145" s="425" t="str">
        <f t="shared" si="14"/>
        <v/>
      </c>
      <c r="V145" s="423" t="str">
        <f>IF($B145="","",K145/(POWER(1+'Qredits maandlasten'!$C$8/12,$B145-1+1)))</f>
        <v/>
      </c>
      <c r="W145" s="422"/>
    </row>
    <row r="146" spans="1:23" s="427" customFormat="1" x14ac:dyDescent="0.2">
      <c r="A146" s="418"/>
      <c r="B146" s="419" t="str">
        <f>IF($B145="","",IF($B145+1&gt;'Qredits maandlasten'!$C$7,"",Schema!B145+1))</f>
        <v/>
      </c>
      <c r="C146" s="420" t="str">
        <f>IF($B145="","",IF($B145+1&gt;'Qredits maandlasten'!$C$7,"",EOMONTH(C145,0)+1))</f>
        <v/>
      </c>
      <c r="D146" s="418"/>
      <c r="E146" s="420" t="str">
        <f>IF($B145="","",IF($B145+1&gt;'Qredits maandlasten'!$C$7,"",F145+1))</f>
        <v/>
      </c>
      <c r="F146" s="420" t="str">
        <f>IF($B145="","",IF($B145+1&gt;'Qredits maandlasten'!$C$7,"",EOMONTH(C146,-1)))</f>
        <v/>
      </c>
      <c r="G146" s="421" t="str">
        <f>IF($B145="","",IF($B145+1&gt;'Qredits maandlasten'!$C$7,"",(_xlfn.DAYS(F146,E146)+1)/DAY(F146)))</f>
        <v/>
      </c>
      <c r="H146" s="422"/>
      <c r="I146" s="423" t="str">
        <f>IF($B145="","",IF($B145+1&gt;'Qredits maandlasten'!$C$7,"",I145-J145))</f>
        <v/>
      </c>
      <c r="J146" s="423" t="str">
        <f>IF($B145="","",IF($B145+1&gt;'Qredits maandlasten'!$C$7,"",IF(B145&lt;'Investering &amp; Financiering'!$E$52-1,0,IF('Qredits maandlasten'!$C$10="Lineair",'Qredits maandlasten'!$H$4,IF('Qredits maandlasten'!$C$10="Annuïteit",IFERROR('Qredits maandlasten'!$H$4-K146,0),0)))))</f>
        <v/>
      </c>
      <c r="K146" s="423" t="str">
        <f>IF($B145="","",IF($B145+1&gt;'Qredits maandlasten'!$C$7,"",G146*I146*'Qredits maandlasten'!$C$8/12))</f>
        <v/>
      </c>
      <c r="L146" s="423" t="str">
        <f t="shared" si="12"/>
        <v/>
      </c>
      <c r="M146" s="423" t="str">
        <f t="shared" si="10"/>
        <v/>
      </c>
      <c r="N146" s="422"/>
      <c r="O146" s="424" t="str">
        <f>IF($B146="","",'Qredits maandlasten'!$C$8/12)</f>
        <v/>
      </c>
      <c r="P146" s="424" t="str">
        <f>IF($B146="","",'Qredits maandlasten'!$C$8/12*(POWER(1+'Qredits maandlasten'!$C$8/12,$B146-1+1)))</f>
        <v/>
      </c>
      <c r="Q146" s="424" t="str">
        <f t="shared" si="13"/>
        <v/>
      </c>
      <c r="R146" s="422"/>
      <c r="S146" s="423" t="str">
        <f t="shared" si="11"/>
        <v/>
      </c>
      <c r="T146" s="423" t="str">
        <f>IF(S146="","",J146/(POWER(1+'Qredits maandlasten'!$C$8/12,$B146-1+1)))</f>
        <v/>
      </c>
      <c r="U146" s="425" t="str">
        <f t="shared" si="14"/>
        <v/>
      </c>
      <c r="V146" s="423" t="str">
        <f>IF($B146="","",K146/(POWER(1+'Qredits maandlasten'!$C$8/12,$B146-1+1)))</f>
        <v/>
      </c>
      <c r="W146" s="422"/>
    </row>
    <row r="147" spans="1:23" s="427" customFormat="1" x14ac:dyDescent="0.2">
      <c r="A147" s="418"/>
      <c r="B147" s="419" t="str">
        <f>IF($B146="","",IF($B146+1&gt;'Qredits maandlasten'!$C$7,"",Schema!B146+1))</f>
        <v/>
      </c>
      <c r="C147" s="420" t="str">
        <f>IF($B146="","",IF($B146+1&gt;'Qredits maandlasten'!$C$7,"",EOMONTH(C146,0)+1))</f>
        <v/>
      </c>
      <c r="D147" s="418"/>
      <c r="E147" s="420" t="str">
        <f>IF($B146="","",IF($B146+1&gt;'Qredits maandlasten'!$C$7,"",F146+1))</f>
        <v/>
      </c>
      <c r="F147" s="420" t="str">
        <f>IF($B146="","",IF($B146+1&gt;'Qredits maandlasten'!$C$7,"",EOMONTH(C147,-1)))</f>
        <v/>
      </c>
      <c r="G147" s="421" t="str">
        <f>IF($B146="","",IF($B146+1&gt;'Qredits maandlasten'!$C$7,"",(_xlfn.DAYS(F147,E147)+1)/DAY(F147)))</f>
        <v/>
      </c>
      <c r="H147" s="422"/>
      <c r="I147" s="423" t="str">
        <f>IF($B146="","",IF($B146+1&gt;'Qredits maandlasten'!$C$7,"",I146-J146))</f>
        <v/>
      </c>
      <c r="J147" s="423" t="str">
        <f>IF($B146="","",IF($B146+1&gt;'Qredits maandlasten'!$C$7,"",IF(B146&lt;'Investering &amp; Financiering'!$E$52-1,0,IF('Qredits maandlasten'!$C$10="Lineair",'Qredits maandlasten'!$H$4,IF('Qredits maandlasten'!$C$10="Annuïteit",IFERROR('Qredits maandlasten'!$H$4-K147,0),0)))))</f>
        <v/>
      </c>
      <c r="K147" s="423" t="str">
        <f>IF($B146="","",IF($B146+1&gt;'Qredits maandlasten'!$C$7,"",G147*I147*'Qredits maandlasten'!$C$8/12))</f>
        <v/>
      </c>
      <c r="L147" s="423" t="str">
        <f t="shared" si="12"/>
        <v/>
      </c>
      <c r="M147" s="423" t="str">
        <f t="shared" si="10"/>
        <v/>
      </c>
      <c r="N147" s="422"/>
      <c r="O147" s="424" t="str">
        <f>IF($B147="","",'Qredits maandlasten'!$C$8/12)</f>
        <v/>
      </c>
      <c r="P147" s="424" t="str">
        <f>IF($B147="","",'Qredits maandlasten'!$C$8/12*(POWER(1+'Qredits maandlasten'!$C$8/12,$B147-1+1)))</f>
        <v/>
      </c>
      <c r="Q147" s="424" t="str">
        <f t="shared" si="13"/>
        <v/>
      </c>
      <c r="R147" s="422"/>
      <c r="S147" s="423" t="str">
        <f t="shared" si="11"/>
        <v/>
      </c>
      <c r="T147" s="423" t="str">
        <f>IF(S147="","",J147/(POWER(1+'Qredits maandlasten'!$C$8/12,$B147-1+1)))</f>
        <v/>
      </c>
      <c r="U147" s="425" t="str">
        <f t="shared" si="14"/>
        <v/>
      </c>
      <c r="V147" s="423" t="str">
        <f>IF($B147="","",K147/(POWER(1+'Qredits maandlasten'!$C$8/12,$B147-1+1)))</f>
        <v/>
      </c>
      <c r="W147" s="422"/>
    </row>
    <row r="148" spans="1:23" s="427" customFormat="1" x14ac:dyDescent="0.2">
      <c r="A148" s="418"/>
      <c r="B148" s="419" t="str">
        <f>IF($B147="","",IF($B147+1&gt;'Qredits maandlasten'!$C$7,"",Schema!B147+1))</f>
        <v/>
      </c>
      <c r="C148" s="420" t="str">
        <f>IF($B147="","",IF($B147+1&gt;'Qredits maandlasten'!$C$7,"",EOMONTH(C147,0)+1))</f>
        <v/>
      </c>
      <c r="D148" s="418"/>
      <c r="E148" s="420" t="str">
        <f>IF($B147="","",IF($B147+1&gt;'Qredits maandlasten'!$C$7,"",F147+1))</f>
        <v/>
      </c>
      <c r="F148" s="420" t="str">
        <f>IF($B147="","",IF($B147+1&gt;'Qredits maandlasten'!$C$7,"",EOMONTH(C148,-1)))</f>
        <v/>
      </c>
      <c r="G148" s="421" t="str">
        <f>IF($B147="","",IF($B147+1&gt;'Qredits maandlasten'!$C$7,"",(_xlfn.DAYS(F148,E148)+1)/DAY(F148)))</f>
        <v/>
      </c>
      <c r="H148" s="422"/>
      <c r="I148" s="423" t="str">
        <f>IF($B147="","",IF($B147+1&gt;'Qredits maandlasten'!$C$7,"",I147-J147))</f>
        <v/>
      </c>
      <c r="J148" s="423" t="str">
        <f>IF($B147="","",IF($B147+1&gt;'Qredits maandlasten'!$C$7,"",IF(B147&lt;'Investering &amp; Financiering'!$E$52-1,0,IF('Qredits maandlasten'!$C$10="Lineair",'Qredits maandlasten'!$H$4,IF('Qredits maandlasten'!$C$10="Annuïteit",IFERROR('Qredits maandlasten'!$H$4-K148,0),0)))))</f>
        <v/>
      </c>
      <c r="K148" s="423" t="str">
        <f>IF($B147="","",IF($B147+1&gt;'Qredits maandlasten'!$C$7,"",G148*I148*'Qredits maandlasten'!$C$8/12))</f>
        <v/>
      </c>
      <c r="L148" s="423" t="str">
        <f t="shared" si="12"/>
        <v/>
      </c>
      <c r="M148" s="423" t="str">
        <f t="shared" si="10"/>
        <v/>
      </c>
      <c r="N148" s="422"/>
      <c r="O148" s="424" t="str">
        <f>IF($B148="","",'Qredits maandlasten'!$C$8/12)</f>
        <v/>
      </c>
      <c r="P148" s="424" t="str">
        <f>IF($B148="","",'Qredits maandlasten'!$C$8/12*(POWER(1+'Qredits maandlasten'!$C$8/12,$B148-1+1)))</f>
        <v/>
      </c>
      <c r="Q148" s="424" t="str">
        <f t="shared" si="13"/>
        <v/>
      </c>
      <c r="R148" s="422"/>
      <c r="S148" s="423" t="str">
        <f t="shared" si="11"/>
        <v/>
      </c>
      <c r="T148" s="423" t="str">
        <f>IF(S148="","",J148/(POWER(1+'Qredits maandlasten'!$C$8/12,$B148-1+1)))</f>
        <v/>
      </c>
      <c r="U148" s="425" t="str">
        <f t="shared" si="14"/>
        <v/>
      </c>
      <c r="V148" s="423" t="str">
        <f>IF($B148="","",K148/(POWER(1+'Qredits maandlasten'!$C$8/12,$B148-1+1)))</f>
        <v/>
      </c>
      <c r="W148" s="422"/>
    </row>
    <row r="149" spans="1:23" s="427" customFormat="1" x14ac:dyDescent="0.2">
      <c r="A149" s="418"/>
      <c r="B149" s="419" t="str">
        <f>IF($B148="","",IF($B148+1&gt;'Qredits maandlasten'!$C$7,"",Schema!B148+1))</f>
        <v/>
      </c>
      <c r="C149" s="420" t="str">
        <f>IF($B148="","",IF($B148+1&gt;'Qredits maandlasten'!$C$7,"",EOMONTH(C148,0)+1))</f>
        <v/>
      </c>
      <c r="D149" s="418"/>
      <c r="E149" s="420" t="str">
        <f>IF($B148="","",IF($B148+1&gt;'Qredits maandlasten'!$C$7,"",F148+1))</f>
        <v/>
      </c>
      <c r="F149" s="420" t="str">
        <f>IF($B148="","",IF($B148+1&gt;'Qredits maandlasten'!$C$7,"",EOMONTH(C149,-1)))</f>
        <v/>
      </c>
      <c r="G149" s="421" t="str">
        <f>IF($B148="","",IF($B148+1&gt;'Qredits maandlasten'!$C$7,"",(_xlfn.DAYS(F149,E149)+1)/DAY(F149)))</f>
        <v/>
      </c>
      <c r="H149" s="422"/>
      <c r="I149" s="423" t="str">
        <f>IF($B148="","",IF($B148+1&gt;'Qredits maandlasten'!$C$7,"",I148-J148))</f>
        <v/>
      </c>
      <c r="J149" s="423" t="str">
        <f>IF($B148="","",IF($B148+1&gt;'Qredits maandlasten'!$C$7,"",IF(B148&lt;'Investering &amp; Financiering'!$E$52-1,0,IF('Qredits maandlasten'!$C$10="Lineair",'Qredits maandlasten'!$H$4,IF('Qredits maandlasten'!$C$10="Annuïteit",IFERROR('Qredits maandlasten'!$H$4-K149,0),0)))))</f>
        <v/>
      </c>
      <c r="K149" s="423" t="str">
        <f>IF($B148="","",IF($B148+1&gt;'Qredits maandlasten'!$C$7,"",G149*I149*'Qredits maandlasten'!$C$8/12))</f>
        <v/>
      </c>
      <c r="L149" s="423" t="str">
        <f t="shared" si="12"/>
        <v/>
      </c>
      <c r="M149" s="423" t="str">
        <f t="shared" si="10"/>
        <v/>
      </c>
      <c r="N149" s="422"/>
      <c r="O149" s="424" t="str">
        <f>IF($B149="","",'Qredits maandlasten'!$C$8/12)</f>
        <v/>
      </c>
      <c r="P149" s="424" t="str">
        <f>IF($B149="","",'Qredits maandlasten'!$C$8/12*(POWER(1+'Qredits maandlasten'!$C$8/12,$B149-1+1)))</f>
        <v/>
      </c>
      <c r="Q149" s="424" t="str">
        <f t="shared" si="13"/>
        <v/>
      </c>
      <c r="R149" s="422"/>
      <c r="S149" s="423" t="str">
        <f t="shared" si="11"/>
        <v/>
      </c>
      <c r="T149" s="423" t="str">
        <f>IF(S149="","",J149/(POWER(1+'Qredits maandlasten'!$C$8/12,$B149-1+1)))</f>
        <v/>
      </c>
      <c r="U149" s="425" t="str">
        <f t="shared" si="14"/>
        <v/>
      </c>
      <c r="V149" s="423" t="str">
        <f>IF($B149="","",K149/(POWER(1+'Qredits maandlasten'!$C$8/12,$B149-1+1)))</f>
        <v/>
      </c>
      <c r="W149" s="422"/>
    </row>
    <row r="150" spans="1:23" s="427" customFormat="1" x14ac:dyDescent="0.2">
      <c r="A150" s="418"/>
      <c r="B150" s="419" t="str">
        <f>IF($B149="","",IF($B149+1&gt;'Qredits maandlasten'!$C$7,"",Schema!B149+1))</f>
        <v/>
      </c>
      <c r="C150" s="420" t="str">
        <f>IF($B149="","",IF($B149+1&gt;'Qredits maandlasten'!$C$7,"",EOMONTH(C149,0)+1))</f>
        <v/>
      </c>
      <c r="D150" s="418"/>
      <c r="E150" s="420" t="str">
        <f>IF($B149="","",IF($B149+1&gt;'Qredits maandlasten'!$C$7,"",F149+1))</f>
        <v/>
      </c>
      <c r="F150" s="420" t="str">
        <f>IF($B149="","",IF($B149+1&gt;'Qredits maandlasten'!$C$7,"",EOMONTH(C150,-1)))</f>
        <v/>
      </c>
      <c r="G150" s="421" t="str">
        <f>IF($B149="","",IF($B149+1&gt;'Qredits maandlasten'!$C$7,"",(_xlfn.DAYS(F150,E150)+1)/DAY(F150)))</f>
        <v/>
      </c>
      <c r="H150" s="422"/>
      <c r="I150" s="423" t="str">
        <f>IF($B149="","",IF($B149+1&gt;'Qredits maandlasten'!$C$7,"",I149-J149))</f>
        <v/>
      </c>
      <c r="J150" s="423" t="str">
        <f>IF($B149="","",IF($B149+1&gt;'Qredits maandlasten'!$C$7,"",IF(B149&lt;'Investering &amp; Financiering'!$E$52-1,0,IF('Qredits maandlasten'!$C$10="Lineair",'Qredits maandlasten'!$H$4,IF('Qredits maandlasten'!$C$10="Annuïteit",IFERROR('Qredits maandlasten'!$H$4-K150,0),0)))))</f>
        <v/>
      </c>
      <c r="K150" s="423" t="str">
        <f>IF($B149="","",IF($B149+1&gt;'Qredits maandlasten'!$C$7,"",G150*I150*'Qredits maandlasten'!$C$8/12))</f>
        <v/>
      </c>
      <c r="L150" s="423" t="str">
        <f t="shared" si="12"/>
        <v/>
      </c>
      <c r="M150" s="423" t="str">
        <f t="shared" si="10"/>
        <v/>
      </c>
      <c r="N150" s="422"/>
      <c r="O150" s="424" t="str">
        <f>IF($B150="","",'Qredits maandlasten'!$C$8/12)</f>
        <v/>
      </c>
      <c r="P150" s="424" t="str">
        <f>IF($B150="","",'Qredits maandlasten'!$C$8/12*(POWER(1+'Qredits maandlasten'!$C$8/12,$B150-1+1)))</f>
        <v/>
      </c>
      <c r="Q150" s="424" t="str">
        <f t="shared" si="13"/>
        <v/>
      </c>
      <c r="R150" s="422"/>
      <c r="S150" s="423" t="str">
        <f t="shared" si="11"/>
        <v/>
      </c>
      <c r="T150" s="423" t="str">
        <f>IF(S150="","",J150/(POWER(1+'Qredits maandlasten'!$C$8/12,$B150-1+1)))</f>
        <v/>
      </c>
      <c r="U150" s="425" t="str">
        <f t="shared" si="14"/>
        <v/>
      </c>
      <c r="V150" s="423" t="str">
        <f>IF($B150="","",K150/(POWER(1+'Qredits maandlasten'!$C$8/12,$B150-1+1)))</f>
        <v/>
      </c>
      <c r="W150" s="422"/>
    </row>
    <row r="151" spans="1:23" s="427" customFormat="1" x14ac:dyDescent="0.2">
      <c r="A151" s="418"/>
      <c r="B151" s="419" t="str">
        <f>IF($B150="","",IF($B150+1&gt;'Qredits maandlasten'!$C$7,"",Schema!B150+1))</f>
        <v/>
      </c>
      <c r="C151" s="420" t="str">
        <f>IF($B150="","",IF($B150+1&gt;'Qredits maandlasten'!$C$7,"",EOMONTH(C150,0)+1))</f>
        <v/>
      </c>
      <c r="D151" s="418"/>
      <c r="E151" s="420" t="str">
        <f>IF($B150="","",IF($B150+1&gt;'Qredits maandlasten'!$C$7,"",F150+1))</f>
        <v/>
      </c>
      <c r="F151" s="420" t="str">
        <f>IF($B150="","",IF($B150+1&gt;'Qredits maandlasten'!$C$7,"",EOMONTH(C151,-1)))</f>
        <v/>
      </c>
      <c r="G151" s="421" t="str">
        <f>IF($B150="","",IF($B150+1&gt;'Qredits maandlasten'!$C$7,"",(_xlfn.DAYS(F151,E151)+1)/DAY(F151)))</f>
        <v/>
      </c>
      <c r="H151" s="422"/>
      <c r="I151" s="423" t="str">
        <f>IF($B150="","",IF($B150+1&gt;'Qredits maandlasten'!$C$7,"",I150-J150))</f>
        <v/>
      </c>
      <c r="J151" s="423" t="str">
        <f>IF($B150="","",IF($B150+1&gt;'Qredits maandlasten'!$C$7,"",IF(B150&lt;'Investering &amp; Financiering'!$E$52-1,0,IF('Qredits maandlasten'!$C$10="Lineair",'Qredits maandlasten'!$H$4,IF('Qredits maandlasten'!$C$10="Annuïteit",IFERROR('Qredits maandlasten'!$H$4-K151,0),0)))))</f>
        <v/>
      </c>
      <c r="K151" s="423" t="str">
        <f>IF($B150="","",IF($B150+1&gt;'Qredits maandlasten'!$C$7,"",G151*I151*'Qredits maandlasten'!$C$8/12))</f>
        <v/>
      </c>
      <c r="L151" s="423" t="str">
        <f t="shared" si="12"/>
        <v/>
      </c>
      <c r="M151" s="423" t="str">
        <f t="shared" si="10"/>
        <v/>
      </c>
      <c r="N151" s="422"/>
      <c r="O151" s="424" t="str">
        <f>IF($B151="","",'Qredits maandlasten'!$C$8/12)</f>
        <v/>
      </c>
      <c r="P151" s="424" t="str">
        <f>IF($B151="","",'Qredits maandlasten'!$C$8/12*(POWER(1+'Qredits maandlasten'!$C$8/12,$B151-1+1)))</f>
        <v/>
      </c>
      <c r="Q151" s="424" t="str">
        <f t="shared" si="13"/>
        <v/>
      </c>
      <c r="R151" s="422"/>
      <c r="S151" s="423" t="str">
        <f t="shared" si="11"/>
        <v/>
      </c>
      <c r="T151" s="423" t="str">
        <f>IF(S151="","",J151/(POWER(1+'Qredits maandlasten'!$C$8/12,$B151-1+1)))</f>
        <v/>
      </c>
      <c r="U151" s="425" t="str">
        <f t="shared" si="14"/>
        <v/>
      </c>
      <c r="V151" s="423" t="str">
        <f>IF($B151="","",K151/(POWER(1+'Qredits maandlasten'!$C$8/12,$B151-1+1)))</f>
        <v/>
      </c>
      <c r="W151" s="422"/>
    </row>
    <row r="152" spans="1:23" s="427" customFormat="1" x14ac:dyDescent="0.2">
      <c r="A152" s="418"/>
      <c r="B152" s="419" t="str">
        <f>IF($B151="","",IF($B151+1&gt;'Qredits maandlasten'!$C$7,"",Schema!B151+1))</f>
        <v/>
      </c>
      <c r="C152" s="420" t="str">
        <f>IF($B151="","",IF($B151+1&gt;'Qredits maandlasten'!$C$7,"",EOMONTH(C151,0)+1))</f>
        <v/>
      </c>
      <c r="D152" s="418"/>
      <c r="E152" s="420" t="str">
        <f>IF($B151="","",IF($B151+1&gt;'Qredits maandlasten'!$C$7,"",F151+1))</f>
        <v/>
      </c>
      <c r="F152" s="420" t="str">
        <f>IF($B151="","",IF($B151+1&gt;'Qredits maandlasten'!$C$7,"",EOMONTH(C152,-1)))</f>
        <v/>
      </c>
      <c r="G152" s="421" t="str">
        <f>IF($B151="","",IF($B151+1&gt;'Qredits maandlasten'!$C$7,"",(_xlfn.DAYS(F152,E152)+1)/DAY(F152)))</f>
        <v/>
      </c>
      <c r="H152" s="422"/>
      <c r="I152" s="423" t="str">
        <f>IF($B151="","",IF($B151+1&gt;'Qredits maandlasten'!$C$7,"",I151-J151))</f>
        <v/>
      </c>
      <c r="J152" s="423" t="str">
        <f>IF($B151="","",IF($B151+1&gt;'Qredits maandlasten'!$C$7,"",IF(B151&lt;'Investering &amp; Financiering'!$E$52-1,0,IF('Qredits maandlasten'!$C$10="Lineair",'Qredits maandlasten'!$H$4,IF('Qredits maandlasten'!$C$10="Annuïteit",IFERROR('Qredits maandlasten'!$H$4-K152,0),0)))))</f>
        <v/>
      </c>
      <c r="K152" s="423" t="str">
        <f>IF($B151="","",IF($B151+1&gt;'Qredits maandlasten'!$C$7,"",G152*I152*'Qredits maandlasten'!$C$8/12))</f>
        <v/>
      </c>
      <c r="L152" s="423" t="str">
        <f t="shared" si="12"/>
        <v/>
      </c>
      <c r="M152" s="423" t="str">
        <f t="shared" si="10"/>
        <v/>
      </c>
      <c r="N152" s="422"/>
      <c r="O152" s="424" t="str">
        <f>IF($B152="","",'Qredits maandlasten'!$C$8/12)</f>
        <v/>
      </c>
      <c r="P152" s="424" t="str">
        <f>IF($B152="","",'Qredits maandlasten'!$C$8/12*(POWER(1+'Qredits maandlasten'!$C$8/12,$B152-1+1)))</f>
        <v/>
      </c>
      <c r="Q152" s="424" t="str">
        <f t="shared" si="13"/>
        <v/>
      </c>
      <c r="R152" s="422"/>
      <c r="S152" s="423" t="str">
        <f t="shared" si="11"/>
        <v/>
      </c>
      <c r="T152" s="423" t="str">
        <f>IF(S152="","",J152/(POWER(1+'Qredits maandlasten'!$C$8/12,$B152-1+1)))</f>
        <v/>
      </c>
      <c r="U152" s="425" t="str">
        <f t="shared" si="14"/>
        <v/>
      </c>
      <c r="V152" s="423" t="str">
        <f>IF($B152="","",K152/(POWER(1+'Qredits maandlasten'!$C$8/12,$B152-1+1)))</f>
        <v/>
      </c>
      <c r="W152" s="422"/>
    </row>
    <row r="153" spans="1:23" s="427" customFormat="1" x14ac:dyDescent="0.2">
      <c r="A153" s="418"/>
      <c r="B153" s="419" t="str">
        <f>IF($B152="","",IF($B152+1&gt;'Qredits maandlasten'!$C$7,"",Schema!B152+1))</f>
        <v/>
      </c>
      <c r="C153" s="420" t="str">
        <f>IF($B152="","",IF($B152+1&gt;'Qredits maandlasten'!$C$7,"",EOMONTH(C152,0)+1))</f>
        <v/>
      </c>
      <c r="D153" s="418"/>
      <c r="E153" s="420" t="str">
        <f>IF($B152="","",IF($B152+1&gt;'Qredits maandlasten'!$C$7,"",F152+1))</f>
        <v/>
      </c>
      <c r="F153" s="420" t="str">
        <f>IF($B152="","",IF($B152+1&gt;'Qredits maandlasten'!$C$7,"",EOMONTH(C153,-1)))</f>
        <v/>
      </c>
      <c r="G153" s="421" t="str">
        <f>IF($B152="","",IF($B152+1&gt;'Qredits maandlasten'!$C$7,"",(_xlfn.DAYS(F153,E153)+1)/DAY(F153)))</f>
        <v/>
      </c>
      <c r="H153" s="422"/>
      <c r="I153" s="423" t="str">
        <f>IF($B152="","",IF($B152+1&gt;'Qredits maandlasten'!$C$7,"",I152-J152))</f>
        <v/>
      </c>
      <c r="J153" s="423" t="str">
        <f>IF($B152="","",IF($B152+1&gt;'Qredits maandlasten'!$C$7,"",IF(B152&lt;'Investering &amp; Financiering'!$E$52-1,0,IF('Qredits maandlasten'!$C$10="Lineair",'Qredits maandlasten'!$H$4,IF('Qredits maandlasten'!$C$10="Annuïteit",IFERROR('Qredits maandlasten'!$H$4-K153,0),0)))))</f>
        <v/>
      </c>
      <c r="K153" s="423" t="str">
        <f>IF($B152="","",IF($B152+1&gt;'Qredits maandlasten'!$C$7,"",G153*I153*'Qredits maandlasten'!$C$8/12))</f>
        <v/>
      </c>
      <c r="L153" s="423" t="str">
        <f t="shared" si="12"/>
        <v/>
      </c>
      <c r="M153" s="423" t="str">
        <f t="shared" si="10"/>
        <v/>
      </c>
      <c r="N153" s="422"/>
      <c r="O153" s="424" t="str">
        <f>IF($B153="","",'Qredits maandlasten'!$C$8/12)</f>
        <v/>
      </c>
      <c r="P153" s="424" t="str">
        <f>IF($B153="","",'Qredits maandlasten'!$C$8/12*(POWER(1+'Qredits maandlasten'!$C$8/12,$B153-1+1)))</f>
        <v/>
      </c>
      <c r="Q153" s="424" t="str">
        <f t="shared" si="13"/>
        <v/>
      </c>
      <c r="R153" s="422"/>
      <c r="S153" s="423" t="str">
        <f t="shared" si="11"/>
        <v/>
      </c>
      <c r="T153" s="423" t="str">
        <f>IF(S153="","",J153/(POWER(1+'Qredits maandlasten'!$C$8/12,$B153-1+1)))</f>
        <v/>
      </c>
      <c r="U153" s="425" t="str">
        <f t="shared" si="14"/>
        <v/>
      </c>
      <c r="V153" s="423" t="str">
        <f>IF($B153="","",K153/(POWER(1+'Qredits maandlasten'!$C$8/12,$B153-1+1)))</f>
        <v/>
      </c>
      <c r="W153" s="422"/>
    </row>
    <row r="154" spans="1:23" s="427" customFormat="1" x14ac:dyDescent="0.2">
      <c r="A154" s="418"/>
      <c r="B154" s="419" t="str">
        <f>IF($B153="","",IF($B153+1&gt;'Qredits maandlasten'!$C$7,"",Schema!B153+1))</f>
        <v/>
      </c>
      <c r="C154" s="420" t="str">
        <f>IF($B153="","",IF($B153+1&gt;'Qredits maandlasten'!$C$7,"",EOMONTH(C153,0)+1))</f>
        <v/>
      </c>
      <c r="D154" s="418"/>
      <c r="E154" s="420" t="str">
        <f>IF($B153="","",IF($B153+1&gt;'Qredits maandlasten'!$C$7,"",F153+1))</f>
        <v/>
      </c>
      <c r="F154" s="420" t="str">
        <f>IF($B153="","",IF($B153+1&gt;'Qredits maandlasten'!$C$7,"",EOMONTH(C154,-1)))</f>
        <v/>
      </c>
      <c r="G154" s="421" t="str">
        <f>IF($B153="","",IF($B153+1&gt;'Qredits maandlasten'!$C$7,"",(_xlfn.DAYS(F154,E154)+1)/DAY(F154)))</f>
        <v/>
      </c>
      <c r="H154" s="422"/>
      <c r="I154" s="423" t="str">
        <f>IF($B153="","",IF($B153+1&gt;'Qredits maandlasten'!$C$7,"",I153-J153))</f>
        <v/>
      </c>
      <c r="J154" s="423" t="str">
        <f>IF($B153="","",IF($B153+1&gt;'Qredits maandlasten'!$C$7,"",IF(B153&lt;'Investering &amp; Financiering'!$E$52-1,0,IF('Qredits maandlasten'!$C$10="Lineair",'Qredits maandlasten'!$H$4,IF('Qredits maandlasten'!$C$10="Annuïteit",IFERROR('Qredits maandlasten'!$H$4-K154,0),0)))))</f>
        <v/>
      </c>
      <c r="K154" s="423" t="str">
        <f>IF($B153="","",IF($B153+1&gt;'Qredits maandlasten'!$C$7,"",G154*I154*'Qredits maandlasten'!$C$8/12))</f>
        <v/>
      </c>
      <c r="L154" s="423" t="str">
        <f t="shared" si="12"/>
        <v/>
      </c>
      <c r="M154" s="423" t="str">
        <f t="shared" si="10"/>
        <v/>
      </c>
      <c r="N154" s="422"/>
      <c r="O154" s="424" t="str">
        <f>IF($B154="","",'Qredits maandlasten'!$C$8/12)</f>
        <v/>
      </c>
      <c r="P154" s="424" t="str">
        <f>IF($B154="","",'Qredits maandlasten'!$C$8/12*(POWER(1+'Qredits maandlasten'!$C$8/12,$B154-1+1)))</f>
        <v/>
      </c>
      <c r="Q154" s="424" t="str">
        <f t="shared" si="13"/>
        <v/>
      </c>
      <c r="R154" s="422"/>
      <c r="S154" s="423" t="str">
        <f t="shared" si="11"/>
        <v/>
      </c>
      <c r="T154" s="423" t="str">
        <f>IF(S154="","",J154/(POWER(1+'Qredits maandlasten'!$C$8/12,$B154-1+1)))</f>
        <v/>
      </c>
      <c r="U154" s="425" t="str">
        <f t="shared" si="14"/>
        <v/>
      </c>
      <c r="V154" s="423" t="str">
        <f>IF($B154="","",K154/(POWER(1+'Qredits maandlasten'!$C$8/12,$B154-1+1)))</f>
        <v/>
      </c>
      <c r="W154" s="422"/>
    </row>
    <row r="155" spans="1:23" s="427" customFormat="1" x14ac:dyDescent="0.2">
      <c r="A155" s="418"/>
      <c r="B155" s="419" t="str">
        <f>IF($B154="","",IF($B154+1&gt;'Qredits maandlasten'!$C$7,"",Schema!B154+1))</f>
        <v/>
      </c>
      <c r="C155" s="420" t="str">
        <f>IF($B154="","",IF($B154+1&gt;'Qredits maandlasten'!$C$7,"",EOMONTH(C154,0)+1))</f>
        <v/>
      </c>
      <c r="D155" s="418"/>
      <c r="E155" s="420" t="str">
        <f>IF($B154="","",IF($B154+1&gt;'Qredits maandlasten'!$C$7,"",F154+1))</f>
        <v/>
      </c>
      <c r="F155" s="420" t="str">
        <f>IF($B154="","",IF($B154+1&gt;'Qredits maandlasten'!$C$7,"",EOMONTH(C155,-1)))</f>
        <v/>
      </c>
      <c r="G155" s="421" t="str">
        <f>IF($B154="","",IF($B154+1&gt;'Qredits maandlasten'!$C$7,"",(_xlfn.DAYS(F155,E155)+1)/DAY(F155)))</f>
        <v/>
      </c>
      <c r="H155" s="422"/>
      <c r="I155" s="423" t="str">
        <f>IF($B154="","",IF($B154+1&gt;'Qredits maandlasten'!$C$7,"",I154-J154))</f>
        <v/>
      </c>
      <c r="J155" s="423" t="str">
        <f>IF($B154="","",IF($B154+1&gt;'Qredits maandlasten'!$C$7,"",IF(B154&lt;'Investering &amp; Financiering'!$E$52-1,0,IF('Qredits maandlasten'!$C$10="Lineair",'Qredits maandlasten'!$H$4,IF('Qredits maandlasten'!$C$10="Annuïteit",IFERROR('Qredits maandlasten'!$H$4-K155,0),0)))))</f>
        <v/>
      </c>
      <c r="K155" s="423" t="str">
        <f>IF($B154="","",IF($B154+1&gt;'Qredits maandlasten'!$C$7,"",G155*I155*'Qredits maandlasten'!$C$8/12))</f>
        <v/>
      </c>
      <c r="L155" s="423" t="str">
        <f t="shared" si="12"/>
        <v/>
      </c>
      <c r="M155" s="423" t="str">
        <f t="shared" si="10"/>
        <v/>
      </c>
      <c r="N155" s="422"/>
      <c r="O155" s="424" t="str">
        <f>IF($B155="","",'Qredits maandlasten'!$C$8/12)</f>
        <v/>
      </c>
      <c r="P155" s="424" t="str">
        <f>IF($B155="","",'Qredits maandlasten'!$C$8/12*(POWER(1+'Qredits maandlasten'!$C$8/12,$B155-1+1)))</f>
        <v/>
      </c>
      <c r="Q155" s="424" t="str">
        <f t="shared" si="13"/>
        <v/>
      </c>
      <c r="R155" s="422"/>
      <c r="S155" s="423" t="str">
        <f t="shared" si="11"/>
        <v/>
      </c>
      <c r="T155" s="423" t="str">
        <f>IF(S155="","",J155/(POWER(1+'Qredits maandlasten'!$C$8/12,$B155-1+1)))</f>
        <v/>
      </c>
      <c r="U155" s="425" t="str">
        <f t="shared" si="14"/>
        <v/>
      </c>
      <c r="V155" s="423" t="str">
        <f>IF($B155="","",K155/(POWER(1+'Qredits maandlasten'!$C$8/12,$B155-1+1)))</f>
        <v/>
      </c>
      <c r="W155" s="422"/>
    </row>
    <row r="156" spans="1:23" s="427" customFormat="1" x14ac:dyDescent="0.2">
      <c r="A156" s="418"/>
      <c r="B156" s="419" t="str">
        <f>IF($B155="","",IF($B155+1&gt;'Qredits maandlasten'!$C$7,"",Schema!B155+1))</f>
        <v/>
      </c>
      <c r="C156" s="420" t="str">
        <f>IF($B155="","",IF($B155+1&gt;'Qredits maandlasten'!$C$7,"",EOMONTH(C155,0)+1))</f>
        <v/>
      </c>
      <c r="D156" s="418"/>
      <c r="E156" s="420" t="str">
        <f>IF($B155="","",IF($B155+1&gt;'Qredits maandlasten'!$C$7,"",F155+1))</f>
        <v/>
      </c>
      <c r="F156" s="420" t="str">
        <f>IF($B155="","",IF($B155+1&gt;'Qredits maandlasten'!$C$7,"",EOMONTH(C156,-1)))</f>
        <v/>
      </c>
      <c r="G156" s="421" t="str">
        <f>IF($B155="","",IF($B155+1&gt;'Qredits maandlasten'!$C$7,"",(_xlfn.DAYS(F156,E156)+1)/DAY(F156)))</f>
        <v/>
      </c>
      <c r="H156" s="422"/>
      <c r="I156" s="423" t="str">
        <f>IF($B155="","",IF($B155+1&gt;'Qredits maandlasten'!$C$7,"",I155-J155))</f>
        <v/>
      </c>
      <c r="J156" s="423" t="str">
        <f>IF($B155="","",IF($B155+1&gt;'Qredits maandlasten'!$C$7,"",IF(B155&lt;'Investering &amp; Financiering'!$E$52-1,0,IF('Qredits maandlasten'!$C$10="Lineair",'Qredits maandlasten'!$H$4,IF('Qredits maandlasten'!$C$10="Annuïteit",IFERROR('Qredits maandlasten'!$H$4-K156,0),0)))))</f>
        <v/>
      </c>
      <c r="K156" s="423" t="str">
        <f>IF($B155="","",IF($B155+1&gt;'Qredits maandlasten'!$C$7,"",G156*I156*'Qredits maandlasten'!$C$8/12))</f>
        <v/>
      </c>
      <c r="L156" s="423" t="str">
        <f t="shared" si="12"/>
        <v/>
      </c>
      <c r="M156" s="423" t="str">
        <f t="shared" si="10"/>
        <v/>
      </c>
      <c r="N156" s="422"/>
      <c r="O156" s="424" t="str">
        <f>IF($B156="","",'Qredits maandlasten'!$C$8/12)</f>
        <v/>
      </c>
      <c r="P156" s="424" t="str">
        <f>IF($B156="","",'Qredits maandlasten'!$C$8/12*(POWER(1+'Qredits maandlasten'!$C$8/12,$B156-1+1)))</f>
        <v/>
      </c>
      <c r="Q156" s="424" t="str">
        <f t="shared" si="13"/>
        <v/>
      </c>
      <c r="R156" s="422"/>
      <c r="S156" s="423" t="str">
        <f t="shared" si="11"/>
        <v/>
      </c>
      <c r="T156" s="423" t="str">
        <f>IF(S156="","",J156/(POWER(1+'Qredits maandlasten'!$C$8/12,$B156-1+1)))</f>
        <v/>
      </c>
      <c r="U156" s="425" t="str">
        <f t="shared" si="14"/>
        <v/>
      </c>
      <c r="V156" s="423" t="str">
        <f>IF($B156="","",K156/(POWER(1+'Qredits maandlasten'!$C$8/12,$B156-1+1)))</f>
        <v/>
      </c>
      <c r="W156" s="422"/>
    </row>
    <row r="157" spans="1:23" s="427" customFormat="1" x14ac:dyDescent="0.2">
      <c r="A157" s="418"/>
      <c r="B157" s="419" t="str">
        <f>IF($B156="","",IF($B156+1&gt;'Qredits maandlasten'!$C$7,"",Schema!B156+1))</f>
        <v/>
      </c>
      <c r="C157" s="420" t="str">
        <f>IF($B156="","",IF($B156+1&gt;'Qredits maandlasten'!$C$7,"",EOMONTH(C156,0)+1))</f>
        <v/>
      </c>
      <c r="D157" s="418"/>
      <c r="E157" s="420" t="str">
        <f>IF($B156="","",IF($B156+1&gt;'Qredits maandlasten'!$C$7,"",F156+1))</f>
        <v/>
      </c>
      <c r="F157" s="420" t="str">
        <f>IF($B156="","",IF($B156+1&gt;'Qredits maandlasten'!$C$7,"",EOMONTH(C157,-1)))</f>
        <v/>
      </c>
      <c r="G157" s="421" t="str">
        <f>IF($B156="","",IF($B156+1&gt;'Qredits maandlasten'!$C$7,"",(_xlfn.DAYS(F157,E157)+1)/DAY(F157)))</f>
        <v/>
      </c>
      <c r="H157" s="422"/>
      <c r="I157" s="423" t="str">
        <f>IF($B156="","",IF($B156+1&gt;'Qredits maandlasten'!$C$7,"",I156-J156))</f>
        <v/>
      </c>
      <c r="J157" s="423" t="str">
        <f>IF($B156="","",IF($B156+1&gt;'Qredits maandlasten'!$C$7,"",IF(B156&lt;'Investering &amp; Financiering'!$E$52-1,0,IF('Qredits maandlasten'!$C$10="Lineair",'Qredits maandlasten'!$H$4,IF('Qredits maandlasten'!$C$10="Annuïteit",IFERROR('Qredits maandlasten'!$H$4-K157,0),0)))))</f>
        <v/>
      </c>
      <c r="K157" s="423" t="str">
        <f>IF($B156="","",IF($B156+1&gt;'Qredits maandlasten'!$C$7,"",G157*I157*'Qredits maandlasten'!$C$8/12))</f>
        <v/>
      </c>
      <c r="L157" s="423" t="str">
        <f t="shared" si="12"/>
        <v/>
      </c>
      <c r="M157" s="423" t="str">
        <f t="shared" si="10"/>
        <v/>
      </c>
      <c r="N157" s="422"/>
      <c r="O157" s="424" t="str">
        <f>IF($B157="","",'Qredits maandlasten'!$C$8/12)</f>
        <v/>
      </c>
      <c r="P157" s="424" t="str">
        <f>IF($B157="","",'Qredits maandlasten'!$C$8/12*(POWER(1+'Qredits maandlasten'!$C$8/12,$B157-1+1)))</f>
        <v/>
      </c>
      <c r="Q157" s="424" t="str">
        <f t="shared" si="13"/>
        <v/>
      </c>
      <c r="R157" s="422"/>
      <c r="S157" s="423" t="str">
        <f t="shared" si="11"/>
        <v/>
      </c>
      <c r="T157" s="423" t="str">
        <f>IF(S157="","",J157/(POWER(1+'Qredits maandlasten'!$C$8/12,$B157-1+1)))</f>
        <v/>
      </c>
      <c r="U157" s="425" t="str">
        <f t="shared" si="14"/>
        <v/>
      </c>
      <c r="V157" s="423" t="str">
        <f>IF($B157="","",K157/(POWER(1+'Qredits maandlasten'!$C$8/12,$B157-1+1)))</f>
        <v/>
      </c>
      <c r="W157" s="422"/>
    </row>
    <row r="158" spans="1:23" s="427" customFormat="1" x14ac:dyDescent="0.2">
      <c r="A158" s="418"/>
      <c r="B158" s="419" t="str">
        <f>IF($B157="","",IF($B157+1&gt;'Qredits maandlasten'!$C$7,"",Schema!B157+1))</f>
        <v/>
      </c>
      <c r="C158" s="420" t="str">
        <f>IF($B157="","",IF($B157+1&gt;'Qredits maandlasten'!$C$7,"",EOMONTH(C157,0)+1))</f>
        <v/>
      </c>
      <c r="D158" s="418"/>
      <c r="E158" s="420" t="str">
        <f>IF($B157="","",IF($B157+1&gt;'Qredits maandlasten'!$C$7,"",F157+1))</f>
        <v/>
      </c>
      <c r="F158" s="420" t="str">
        <f>IF($B157="","",IF($B157+1&gt;'Qredits maandlasten'!$C$7,"",EOMONTH(C158,-1)))</f>
        <v/>
      </c>
      <c r="G158" s="421" t="str">
        <f>IF($B157="","",IF($B157+1&gt;'Qredits maandlasten'!$C$7,"",(_xlfn.DAYS(F158,E158)+1)/DAY(F158)))</f>
        <v/>
      </c>
      <c r="H158" s="422"/>
      <c r="I158" s="423" t="str">
        <f>IF($B157="","",IF($B157+1&gt;'Qredits maandlasten'!$C$7,"",I157-J157))</f>
        <v/>
      </c>
      <c r="J158" s="423" t="str">
        <f>IF($B157="","",IF($B157+1&gt;'Qredits maandlasten'!$C$7,"",IF(B157&lt;'Investering &amp; Financiering'!$E$52-1,0,IF('Qredits maandlasten'!$C$10="Lineair",'Qredits maandlasten'!$H$4,IF('Qredits maandlasten'!$C$10="Annuïteit",IFERROR('Qredits maandlasten'!$H$4-K158,0),0)))))</f>
        <v/>
      </c>
      <c r="K158" s="423" t="str">
        <f>IF($B157="","",IF($B157+1&gt;'Qredits maandlasten'!$C$7,"",G158*I158*'Qredits maandlasten'!$C$8/12))</f>
        <v/>
      </c>
      <c r="L158" s="423" t="str">
        <f t="shared" si="12"/>
        <v/>
      </c>
      <c r="M158" s="423" t="str">
        <f t="shared" si="10"/>
        <v/>
      </c>
      <c r="N158" s="422"/>
      <c r="O158" s="424" t="str">
        <f>IF($B158="","",'Qredits maandlasten'!$C$8/12)</f>
        <v/>
      </c>
      <c r="P158" s="424" t="str">
        <f>IF($B158="","",'Qredits maandlasten'!$C$8/12*(POWER(1+'Qredits maandlasten'!$C$8/12,$B158-1+1)))</f>
        <v/>
      </c>
      <c r="Q158" s="424" t="str">
        <f t="shared" si="13"/>
        <v/>
      </c>
      <c r="R158" s="422"/>
      <c r="S158" s="423" t="str">
        <f t="shared" si="11"/>
        <v/>
      </c>
      <c r="T158" s="423" t="str">
        <f>IF(S158="","",J158/(POWER(1+'Qredits maandlasten'!$C$8/12,$B158-1+1)))</f>
        <v/>
      </c>
      <c r="U158" s="425" t="str">
        <f t="shared" si="14"/>
        <v/>
      </c>
      <c r="V158" s="423" t="str">
        <f>IF($B158="","",K158/(POWER(1+'Qredits maandlasten'!$C$8/12,$B158-1+1)))</f>
        <v/>
      </c>
      <c r="W158" s="422"/>
    </row>
    <row r="159" spans="1:23" s="427" customFormat="1" x14ac:dyDescent="0.2">
      <c r="A159" s="418"/>
      <c r="B159" s="419" t="str">
        <f>IF($B158="","",IF($B158+1&gt;'Qredits maandlasten'!$C$7,"",Schema!B158+1))</f>
        <v/>
      </c>
      <c r="C159" s="420" t="str">
        <f>IF($B158="","",IF($B158+1&gt;'Qredits maandlasten'!$C$7,"",EOMONTH(C158,0)+1))</f>
        <v/>
      </c>
      <c r="D159" s="418"/>
      <c r="E159" s="420" t="str">
        <f>IF($B158="","",IF($B158+1&gt;'Qredits maandlasten'!$C$7,"",F158+1))</f>
        <v/>
      </c>
      <c r="F159" s="420" t="str">
        <f>IF($B158="","",IF($B158+1&gt;'Qredits maandlasten'!$C$7,"",EOMONTH(C159,-1)))</f>
        <v/>
      </c>
      <c r="G159" s="421" t="str">
        <f>IF($B158="","",IF($B158+1&gt;'Qredits maandlasten'!$C$7,"",(_xlfn.DAYS(F159,E159)+1)/DAY(F159)))</f>
        <v/>
      </c>
      <c r="H159" s="422"/>
      <c r="I159" s="423" t="str">
        <f>IF($B158="","",IF($B158+1&gt;'Qredits maandlasten'!$C$7,"",I158-J158))</f>
        <v/>
      </c>
      <c r="J159" s="423" t="str">
        <f>IF($B158="","",IF($B158+1&gt;'Qredits maandlasten'!$C$7,"",IF(B158&lt;'Investering &amp; Financiering'!$E$52-1,0,IF('Qredits maandlasten'!$C$10="Lineair",'Qredits maandlasten'!$H$4,IF('Qredits maandlasten'!$C$10="Annuïteit",IFERROR('Qredits maandlasten'!$H$4-K159,0),0)))))</f>
        <v/>
      </c>
      <c r="K159" s="423" t="str">
        <f>IF($B158="","",IF($B158+1&gt;'Qredits maandlasten'!$C$7,"",G159*I159*'Qredits maandlasten'!$C$8/12))</f>
        <v/>
      </c>
      <c r="L159" s="423" t="str">
        <f t="shared" si="12"/>
        <v/>
      </c>
      <c r="M159" s="423" t="str">
        <f t="shared" si="10"/>
        <v/>
      </c>
      <c r="N159" s="422"/>
      <c r="O159" s="424" t="str">
        <f>IF($B159="","",'Qredits maandlasten'!$C$8/12)</f>
        <v/>
      </c>
      <c r="P159" s="424" t="str">
        <f>IF($B159="","",'Qredits maandlasten'!$C$8/12*(POWER(1+'Qredits maandlasten'!$C$8/12,$B159-1+1)))</f>
        <v/>
      </c>
      <c r="Q159" s="424" t="str">
        <f t="shared" si="13"/>
        <v/>
      </c>
      <c r="R159" s="422"/>
      <c r="S159" s="423" t="str">
        <f t="shared" si="11"/>
        <v/>
      </c>
      <c r="T159" s="423" t="str">
        <f>IF(S159="","",J159/(POWER(1+'Qredits maandlasten'!$C$8/12,$B159-1+1)))</f>
        <v/>
      </c>
      <c r="U159" s="425" t="str">
        <f t="shared" si="14"/>
        <v/>
      </c>
      <c r="V159" s="423" t="str">
        <f>IF($B159="","",K159/(POWER(1+'Qredits maandlasten'!$C$8/12,$B159-1+1)))</f>
        <v/>
      </c>
      <c r="W159" s="422"/>
    </row>
    <row r="160" spans="1:23" s="427" customFormat="1" x14ac:dyDescent="0.2">
      <c r="A160" s="418"/>
      <c r="B160" s="419" t="str">
        <f>IF($B159="","",IF($B159+1&gt;'Qredits maandlasten'!$C$7,"",Schema!B159+1))</f>
        <v/>
      </c>
      <c r="C160" s="420" t="str">
        <f>IF($B159="","",IF($B159+1&gt;'Qredits maandlasten'!$C$7,"",EOMONTH(C159,0)+1))</f>
        <v/>
      </c>
      <c r="D160" s="418"/>
      <c r="E160" s="420" t="str">
        <f>IF($B159="","",IF($B159+1&gt;'Qredits maandlasten'!$C$7,"",F159+1))</f>
        <v/>
      </c>
      <c r="F160" s="420" t="str">
        <f>IF($B159="","",IF($B159+1&gt;'Qredits maandlasten'!$C$7,"",EOMONTH(C160,-1)))</f>
        <v/>
      </c>
      <c r="G160" s="421" t="str">
        <f>IF($B159="","",IF($B159+1&gt;'Qredits maandlasten'!$C$7,"",(_xlfn.DAYS(F160,E160)+1)/DAY(F160)))</f>
        <v/>
      </c>
      <c r="H160" s="422"/>
      <c r="I160" s="423" t="str">
        <f>IF($B159="","",IF($B159+1&gt;'Qredits maandlasten'!$C$7,"",I159-J159))</f>
        <v/>
      </c>
      <c r="J160" s="423" t="str">
        <f>IF($B159="","",IF($B159+1&gt;'Qredits maandlasten'!$C$7,"",IF(B159&lt;'Investering &amp; Financiering'!$E$52-1,0,IF('Qredits maandlasten'!$C$10="Lineair",'Qredits maandlasten'!$H$4,IF('Qredits maandlasten'!$C$10="Annuïteit",IFERROR('Qredits maandlasten'!$H$4-K160,0),0)))))</f>
        <v/>
      </c>
      <c r="K160" s="423" t="str">
        <f>IF($B159="","",IF($B159+1&gt;'Qredits maandlasten'!$C$7,"",G160*I160*'Qredits maandlasten'!$C$8/12))</f>
        <v/>
      </c>
      <c r="L160" s="423" t="str">
        <f t="shared" si="12"/>
        <v/>
      </c>
      <c r="M160" s="423" t="str">
        <f t="shared" si="10"/>
        <v/>
      </c>
      <c r="N160" s="422"/>
      <c r="O160" s="424" t="str">
        <f>IF($B160="","",'Qredits maandlasten'!$C$8/12)</f>
        <v/>
      </c>
      <c r="P160" s="424" t="str">
        <f>IF($B160="","",'Qredits maandlasten'!$C$8/12*(POWER(1+'Qredits maandlasten'!$C$8/12,$B160-1+1)))</f>
        <v/>
      </c>
      <c r="Q160" s="424" t="str">
        <f t="shared" si="13"/>
        <v/>
      </c>
      <c r="R160" s="422"/>
      <c r="S160" s="423" t="str">
        <f t="shared" si="11"/>
        <v/>
      </c>
      <c r="T160" s="423" t="str">
        <f>IF(S160="","",J160/(POWER(1+'Qredits maandlasten'!$C$8/12,$B160-1+1)))</f>
        <v/>
      </c>
      <c r="U160" s="425" t="str">
        <f t="shared" si="14"/>
        <v/>
      </c>
      <c r="V160" s="423" t="str">
        <f>IF($B160="","",K160/(POWER(1+'Qredits maandlasten'!$C$8/12,$B160-1+1)))</f>
        <v/>
      </c>
      <c r="W160" s="422"/>
    </row>
    <row r="161" spans="1:23" s="427" customFormat="1" x14ac:dyDescent="0.2">
      <c r="A161" s="418"/>
      <c r="B161" s="419" t="str">
        <f>IF($B160="","",IF($B160+1&gt;'Qredits maandlasten'!$C$7,"",Schema!B160+1))</f>
        <v/>
      </c>
      <c r="C161" s="420" t="str">
        <f>IF($B160="","",IF($B160+1&gt;'Qredits maandlasten'!$C$7,"",EOMONTH(C160,0)+1))</f>
        <v/>
      </c>
      <c r="D161" s="418"/>
      <c r="E161" s="420" t="str">
        <f>IF($B160="","",IF($B160+1&gt;'Qredits maandlasten'!$C$7,"",F160+1))</f>
        <v/>
      </c>
      <c r="F161" s="420" t="str">
        <f>IF($B160="","",IF($B160+1&gt;'Qredits maandlasten'!$C$7,"",EOMONTH(C161,-1)))</f>
        <v/>
      </c>
      <c r="G161" s="421" t="str">
        <f>IF($B160="","",IF($B160+1&gt;'Qredits maandlasten'!$C$7,"",(_xlfn.DAYS(F161,E161)+1)/DAY(F161)))</f>
        <v/>
      </c>
      <c r="H161" s="422"/>
      <c r="I161" s="423" t="str">
        <f>IF($B160="","",IF($B160+1&gt;'Qredits maandlasten'!$C$7,"",I160-J160))</f>
        <v/>
      </c>
      <c r="J161" s="423" t="str">
        <f>IF($B160="","",IF($B160+1&gt;'Qredits maandlasten'!$C$7,"",IF(B160&lt;'Investering &amp; Financiering'!$E$52-1,0,IF('Qredits maandlasten'!$C$10="Lineair",'Qredits maandlasten'!$H$4,IF('Qredits maandlasten'!$C$10="Annuïteit",IFERROR('Qredits maandlasten'!$H$4-K161,0),0)))))</f>
        <v/>
      </c>
      <c r="K161" s="423" t="str">
        <f>IF($B160="","",IF($B160+1&gt;'Qredits maandlasten'!$C$7,"",G161*I161*'Qredits maandlasten'!$C$8/12))</f>
        <v/>
      </c>
      <c r="L161" s="423" t="str">
        <f t="shared" si="12"/>
        <v/>
      </c>
      <c r="M161" s="423" t="str">
        <f t="shared" si="10"/>
        <v/>
      </c>
      <c r="N161" s="422"/>
      <c r="O161" s="424" t="str">
        <f>IF($B161="","",'Qredits maandlasten'!$C$8/12)</f>
        <v/>
      </c>
      <c r="P161" s="424" t="str">
        <f>IF($B161="","",'Qredits maandlasten'!$C$8/12*(POWER(1+'Qredits maandlasten'!$C$8/12,$B161-1+1)))</f>
        <v/>
      </c>
      <c r="Q161" s="424" t="str">
        <f t="shared" si="13"/>
        <v/>
      </c>
      <c r="R161" s="422"/>
      <c r="S161" s="423" t="str">
        <f t="shared" si="11"/>
        <v/>
      </c>
      <c r="T161" s="423" t="str">
        <f>IF(S161="","",J161/(POWER(1+'Qredits maandlasten'!$C$8/12,$B161-1+1)))</f>
        <v/>
      </c>
      <c r="U161" s="425" t="str">
        <f t="shared" si="14"/>
        <v/>
      </c>
      <c r="V161" s="423" t="str">
        <f>IF($B161="","",K161/(POWER(1+'Qredits maandlasten'!$C$8/12,$B161-1+1)))</f>
        <v/>
      </c>
      <c r="W161" s="422"/>
    </row>
    <row r="162" spans="1:23" s="427" customFormat="1" x14ac:dyDescent="0.2">
      <c r="A162" s="418"/>
      <c r="B162" s="419" t="str">
        <f>IF($B161="","",IF($B161+1&gt;'Qredits maandlasten'!$C$7,"",Schema!B161+1))</f>
        <v/>
      </c>
      <c r="C162" s="420" t="str">
        <f>IF($B161="","",IF($B161+1&gt;'Qredits maandlasten'!$C$7,"",EOMONTH(C161,0)+1))</f>
        <v/>
      </c>
      <c r="D162" s="418"/>
      <c r="E162" s="420" t="str">
        <f>IF($B161="","",IF($B161+1&gt;'Qredits maandlasten'!$C$7,"",F161+1))</f>
        <v/>
      </c>
      <c r="F162" s="420" t="str">
        <f>IF($B161="","",IF($B161+1&gt;'Qredits maandlasten'!$C$7,"",EOMONTH(C162,-1)))</f>
        <v/>
      </c>
      <c r="G162" s="421" t="str">
        <f>IF($B161="","",IF($B161+1&gt;'Qredits maandlasten'!$C$7,"",(_xlfn.DAYS(F162,E162)+1)/DAY(F162)))</f>
        <v/>
      </c>
      <c r="H162" s="422"/>
      <c r="I162" s="423" t="str">
        <f>IF($B161="","",IF($B161+1&gt;'Qredits maandlasten'!$C$7,"",I161-J161))</f>
        <v/>
      </c>
      <c r="J162" s="423" t="str">
        <f>IF($B161="","",IF($B161+1&gt;'Qredits maandlasten'!$C$7,"",IF(B161&lt;'Investering &amp; Financiering'!$E$52-1,0,IF('Qredits maandlasten'!$C$10="Lineair",'Qredits maandlasten'!$H$4,IF('Qredits maandlasten'!$C$10="Annuïteit",IFERROR('Qredits maandlasten'!$H$4-K162,0),0)))))</f>
        <v/>
      </c>
      <c r="K162" s="423" t="str">
        <f>IF($B161="","",IF($B161+1&gt;'Qredits maandlasten'!$C$7,"",G162*I162*'Qredits maandlasten'!$C$8/12))</f>
        <v/>
      </c>
      <c r="L162" s="423" t="str">
        <f t="shared" si="12"/>
        <v/>
      </c>
      <c r="M162" s="423" t="str">
        <f t="shared" si="10"/>
        <v/>
      </c>
      <c r="N162" s="422"/>
      <c r="O162" s="424" t="str">
        <f>IF($B162="","",'Qredits maandlasten'!$C$8/12)</f>
        <v/>
      </c>
      <c r="P162" s="424" t="str">
        <f>IF($B162="","",'Qredits maandlasten'!$C$8/12*(POWER(1+'Qredits maandlasten'!$C$8/12,$B162-1+1)))</f>
        <v/>
      </c>
      <c r="Q162" s="424" t="str">
        <f t="shared" si="13"/>
        <v/>
      </c>
      <c r="R162" s="422"/>
      <c r="S162" s="423" t="str">
        <f t="shared" si="11"/>
        <v/>
      </c>
      <c r="T162" s="423" t="str">
        <f>IF(S162="","",J162/(POWER(1+'Qredits maandlasten'!$C$8/12,$B162-1+1)))</f>
        <v/>
      </c>
      <c r="U162" s="425" t="str">
        <f t="shared" si="14"/>
        <v/>
      </c>
      <c r="V162" s="423" t="str">
        <f>IF($B162="","",K162/(POWER(1+'Qredits maandlasten'!$C$8/12,$B162-1+1)))</f>
        <v/>
      </c>
      <c r="W162" s="422"/>
    </row>
    <row r="163" spans="1:23" s="427" customFormat="1" x14ac:dyDescent="0.2">
      <c r="A163" s="418"/>
      <c r="B163" s="419" t="str">
        <f>IF($B162="","",IF($B162+1&gt;'Qredits maandlasten'!$C$7,"",Schema!B162+1))</f>
        <v/>
      </c>
      <c r="C163" s="420" t="str">
        <f>IF($B162="","",IF($B162+1&gt;'Qredits maandlasten'!$C$7,"",EOMONTH(C162,0)+1))</f>
        <v/>
      </c>
      <c r="D163" s="418"/>
      <c r="E163" s="420" t="str">
        <f>IF($B162="","",IF($B162+1&gt;'Qredits maandlasten'!$C$7,"",F162+1))</f>
        <v/>
      </c>
      <c r="F163" s="420" t="str">
        <f>IF($B162="","",IF($B162+1&gt;'Qredits maandlasten'!$C$7,"",EOMONTH(C163,-1)))</f>
        <v/>
      </c>
      <c r="G163" s="421" t="str">
        <f>IF($B162="","",IF($B162+1&gt;'Qredits maandlasten'!$C$7,"",(_xlfn.DAYS(F163,E163)+1)/DAY(F163)))</f>
        <v/>
      </c>
      <c r="H163" s="422"/>
      <c r="I163" s="423" t="str">
        <f>IF($B162="","",IF($B162+1&gt;'Qredits maandlasten'!$C$7,"",I162-J162))</f>
        <v/>
      </c>
      <c r="J163" s="423" t="str">
        <f>IF($B162="","",IF($B162+1&gt;'Qredits maandlasten'!$C$7,"",IF(B162&lt;'Investering &amp; Financiering'!$E$52-1,0,IF('Qredits maandlasten'!$C$10="Lineair",'Qredits maandlasten'!$H$4,IF('Qredits maandlasten'!$C$10="Annuïteit",IFERROR('Qredits maandlasten'!$H$4-K163,0),0)))))</f>
        <v/>
      </c>
      <c r="K163" s="423" t="str">
        <f>IF($B162="","",IF($B162+1&gt;'Qredits maandlasten'!$C$7,"",G163*I163*'Qredits maandlasten'!$C$8/12))</f>
        <v/>
      </c>
      <c r="L163" s="423" t="str">
        <f t="shared" si="12"/>
        <v/>
      </c>
      <c r="M163" s="423" t="str">
        <f t="shared" si="10"/>
        <v/>
      </c>
      <c r="N163" s="422"/>
      <c r="O163" s="424" t="str">
        <f>IF($B163="","",'Qredits maandlasten'!$C$8/12)</f>
        <v/>
      </c>
      <c r="P163" s="424" t="str">
        <f>IF($B163="","",'Qredits maandlasten'!$C$8/12*(POWER(1+'Qredits maandlasten'!$C$8/12,$B163-1+1)))</f>
        <v/>
      </c>
      <c r="Q163" s="424" t="str">
        <f t="shared" si="13"/>
        <v/>
      </c>
      <c r="R163" s="422"/>
      <c r="S163" s="423" t="str">
        <f t="shared" si="11"/>
        <v/>
      </c>
      <c r="T163" s="423" t="str">
        <f>IF(S163="","",J163/(POWER(1+'Qredits maandlasten'!$C$8/12,$B163-1+1)))</f>
        <v/>
      </c>
      <c r="U163" s="425" t="str">
        <f t="shared" si="14"/>
        <v/>
      </c>
      <c r="V163" s="423" t="str">
        <f>IF($B163="","",K163/(POWER(1+'Qredits maandlasten'!$C$8/12,$B163-1+1)))</f>
        <v/>
      </c>
      <c r="W163" s="422"/>
    </row>
    <row r="164" spans="1:23" s="427" customFormat="1" x14ac:dyDescent="0.2">
      <c r="A164" s="418"/>
      <c r="B164" s="419" t="str">
        <f>IF($B163="","",IF($B163+1&gt;'Qredits maandlasten'!$C$7,"",Schema!B163+1))</f>
        <v/>
      </c>
      <c r="C164" s="420" t="str">
        <f>IF($B163="","",IF($B163+1&gt;'Qredits maandlasten'!$C$7,"",EOMONTH(C163,0)+1))</f>
        <v/>
      </c>
      <c r="D164" s="418"/>
      <c r="E164" s="420" t="str">
        <f>IF($B163="","",IF($B163+1&gt;'Qredits maandlasten'!$C$7,"",F163+1))</f>
        <v/>
      </c>
      <c r="F164" s="420" t="str">
        <f>IF($B163="","",IF($B163+1&gt;'Qredits maandlasten'!$C$7,"",EOMONTH(C164,-1)))</f>
        <v/>
      </c>
      <c r="G164" s="421" t="str">
        <f>IF($B163="","",IF($B163+1&gt;'Qredits maandlasten'!$C$7,"",(_xlfn.DAYS(F164,E164)+1)/DAY(F164)))</f>
        <v/>
      </c>
      <c r="H164" s="422"/>
      <c r="I164" s="423" t="str">
        <f>IF($B163="","",IF($B163+1&gt;'Qredits maandlasten'!$C$7,"",I163-J163))</f>
        <v/>
      </c>
      <c r="J164" s="423" t="str">
        <f>IF($B163="","",IF($B163+1&gt;'Qredits maandlasten'!$C$7,"",IF(B163&lt;'Investering &amp; Financiering'!$E$52-1,0,IF('Qredits maandlasten'!$C$10="Lineair",'Qredits maandlasten'!$H$4,IF('Qredits maandlasten'!$C$10="Annuïteit",IFERROR('Qredits maandlasten'!$H$4-K164,0),0)))))</f>
        <v/>
      </c>
      <c r="K164" s="423" t="str">
        <f>IF($B163="","",IF($B163+1&gt;'Qredits maandlasten'!$C$7,"",G164*I164*'Qredits maandlasten'!$C$8/12))</f>
        <v/>
      </c>
      <c r="L164" s="423" t="str">
        <f t="shared" si="12"/>
        <v/>
      </c>
      <c r="M164" s="423" t="str">
        <f t="shared" si="10"/>
        <v/>
      </c>
      <c r="N164" s="422"/>
      <c r="O164" s="424" t="str">
        <f>IF($B164="","",'Qredits maandlasten'!$C$8/12)</f>
        <v/>
      </c>
      <c r="P164" s="424" t="str">
        <f>IF($B164="","",'Qredits maandlasten'!$C$8/12*(POWER(1+'Qredits maandlasten'!$C$8/12,$B164-1+1)))</f>
        <v/>
      </c>
      <c r="Q164" s="424" t="str">
        <f t="shared" si="13"/>
        <v/>
      </c>
      <c r="R164" s="422"/>
      <c r="S164" s="423" t="str">
        <f t="shared" si="11"/>
        <v/>
      </c>
      <c r="T164" s="423" t="str">
        <f>IF(S164="","",J164/(POWER(1+'Qredits maandlasten'!$C$8/12,$B164-1+1)))</f>
        <v/>
      </c>
      <c r="U164" s="425" t="str">
        <f t="shared" si="14"/>
        <v/>
      </c>
      <c r="V164" s="423" t="str">
        <f>IF($B164="","",K164/(POWER(1+'Qredits maandlasten'!$C$8/12,$B164-1+1)))</f>
        <v/>
      </c>
      <c r="W164" s="422"/>
    </row>
    <row r="165" spans="1:23" s="427" customFormat="1" x14ac:dyDescent="0.2">
      <c r="A165" s="418"/>
      <c r="B165" s="419" t="str">
        <f>IF($B164="","",IF($B164+1&gt;'Qredits maandlasten'!$C$7,"",Schema!B164+1))</f>
        <v/>
      </c>
      <c r="C165" s="420" t="str">
        <f>IF($B164="","",IF($B164+1&gt;'Qredits maandlasten'!$C$7,"",EOMONTH(C164,0)+1))</f>
        <v/>
      </c>
      <c r="D165" s="418"/>
      <c r="E165" s="420" t="str">
        <f>IF($B164="","",IF($B164+1&gt;'Qredits maandlasten'!$C$7,"",F164+1))</f>
        <v/>
      </c>
      <c r="F165" s="420" t="str">
        <f>IF($B164="","",IF($B164+1&gt;'Qredits maandlasten'!$C$7,"",EOMONTH(C165,-1)))</f>
        <v/>
      </c>
      <c r="G165" s="421" t="str">
        <f>IF($B164="","",IF($B164+1&gt;'Qredits maandlasten'!$C$7,"",(_xlfn.DAYS(F165,E165)+1)/DAY(F165)))</f>
        <v/>
      </c>
      <c r="H165" s="422"/>
      <c r="I165" s="423" t="str">
        <f>IF($B164="","",IF($B164+1&gt;'Qredits maandlasten'!$C$7,"",I164-J164))</f>
        <v/>
      </c>
      <c r="J165" s="423" t="str">
        <f>IF($B164="","",IF($B164+1&gt;'Qredits maandlasten'!$C$7,"",IF(B164&lt;'Investering &amp; Financiering'!$E$52-1,0,IF('Qredits maandlasten'!$C$10="Lineair",'Qredits maandlasten'!$H$4,IF('Qredits maandlasten'!$C$10="Annuïteit",IFERROR('Qredits maandlasten'!$H$4-K165,0),0)))))</f>
        <v/>
      </c>
      <c r="K165" s="423" t="str">
        <f>IF($B164="","",IF($B164+1&gt;'Qredits maandlasten'!$C$7,"",G165*I165*'Qredits maandlasten'!$C$8/12))</f>
        <v/>
      </c>
      <c r="L165" s="423" t="str">
        <f t="shared" si="12"/>
        <v/>
      </c>
      <c r="M165" s="423" t="str">
        <f t="shared" si="10"/>
        <v/>
      </c>
      <c r="N165" s="422"/>
      <c r="O165" s="424" t="str">
        <f>IF($B165="","",'Qredits maandlasten'!$C$8/12)</f>
        <v/>
      </c>
      <c r="P165" s="424" t="str">
        <f>IF($B165="","",'Qredits maandlasten'!$C$8/12*(POWER(1+'Qredits maandlasten'!$C$8/12,$B165-1+1)))</f>
        <v/>
      </c>
      <c r="Q165" s="424" t="str">
        <f t="shared" si="13"/>
        <v/>
      </c>
      <c r="R165" s="422"/>
      <c r="S165" s="423" t="str">
        <f t="shared" si="11"/>
        <v/>
      </c>
      <c r="T165" s="423" t="str">
        <f>IF(S165="","",J165/(POWER(1+'Qredits maandlasten'!$C$8/12,$B165-1+1)))</f>
        <v/>
      </c>
      <c r="U165" s="425" t="str">
        <f t="shared" si="14"/>
        <v/>
      </c>
      <c r="V165" s="423" t="str">
        <f>IF($B165="","",K165/(POWER(1+'Qredits maandlasten'!$C$8/12,$B165-1+1)))</f>
        <v/>
      </c>
      <c r="W165" s="422"/>
    </row>
    <row r="166" spans="1:23" s="427" customFormat="1" x14ac:dyDescent="0.2">
      <c r="A166" s="418"/>
      <c r="B166" s="419" t="str">
        <f>IF($B165="","",IF($B165+1&gt;'Qredits maandlasten'!$C$7,"",Schema!B165+1))</f>
        <v/>
      </c>
      <c r="C166" s="420" t="str">
        <f>IF($B165="","",IF($B165+1&gt;'Qredits maandlasten'!$C$7,"",EOMONTH(C165,0)+1))</f>
        <v/>
      </c>
      <c r="D166" s="418"/>
      <c r="E166" s="420" t="str">
        <f>IF($B165="","",IF($B165+1&gt;'Qredits maandlasten'!$C$7,"",F165+1))</f>
        <v/>
      </c>
      <c r="F166" s="420" t="str">
        <f>IF($B165="","",IF($B165+1&gt;'Qredits maandlasten'!$C$7,"",EOMONTH(C166,-1)))</f>
        <v/>
      </c>
      <c r="G166" s="421" t="str">
        <f>IF($B165="","",IF($B165+1&gt;'Qredits maandlasten'!$C$7,"",(_xlfn.DAYS(F166,E166)+1)/DAY(F166)))</f>
        <v/>
      </c>
      <c r="H166" s="422"/>
      <c r="I166" s="423" t="str">
        <f>IF($B165="","",IF($B165+1&gt;'Qredits maandlasten'!$C$7,"",I165-J165))</f>
        <v/>
      </c>
      <c r="J166" s="423" t="str">
        <f>IF($B165="","",IF($B165+1&gt;'Qredits maandlasten'!$C$7,"",IF(B165&lt;'Investering &amp; Financiering'!$E$52-1,0,IF('Qredits maandlasten'!$C$10="Lineair",'Qredits maandlasten'!$H$4,IF('Qredits maandlasten'!$C$10="Annuïteit",IFERROR('Qredits maandlasten'!$H$4-K166,0),0)))))</f>
        <v/>
      </c>
      <c r="K166" s="423" t="str">
        <f>IF($B165="","",IF($B165+1&gt;'Qredits maandlasten'!$C$7,"",G166*I166*'Qredits maandlasten'!$C$8/12))</f>
        <v/>
      </c>
      <c r="L166" s="423" t="str">
        <f t="shared" si="12"/>
        <v/>
      </c>
      <c r="M166" s="423" t="str">
        <f t="shared" si="10"/>
        <v/>
      </c>
      <c r="N166" s="422"/>
      <c r="O166" s="424" t="str">
        <f>IF($B166="","",'Qredits maandlasten'!$C$8/12)</f>
        <v/>
      </c>
      <c r="P166" s="424" t="str">
        <f>IF($B166="","",'Qredits maandlasten'!$C$8/12*(POWER(1+'Qredits maandlasten'!$C$8/12,$B166-1+1)))</f>
        <v/>
      </c>
      <c r="Q166" s="424" t="str">
        <f t="shared" si="13"/>
        <v/>
      </c>
      <c r="R166" s="422"/>
      <c r="S166" s="423" t="str">
        <f t="shared" si="11"/>
        <v/>
      </c>
      <c r="T166" s="423" t="str">
        <f>IF(S166="","",J166/(POWER(1+'Qredits maandlasten'!$C$8/12,$B166-1+1)))</f>
        <v/>
      </c>
      <c r="U166" s="425" t="str">
        <f t="shared" si="14"/>
        <v/>
      </c>
      <c r="V166" s="423" t="str">
        <f>IF($B166="","",K166/(POWER(1+'Qredits maandlasten'!$C$8/12,$B166-1+1)))</f>
        <v/>
      </c>
      <c r="W166" s="422"/>
    </row>
    <row r="167" spans="1:23" s="427" customFormat="1" x14ac:dyDescent="0.2">
      <c r="A167" s="418"/>
      <c r="B167" s="419" t="str">
        <f>IF($B166="","",IF($B166+1&gt;'Qredits maandlasten'!$C$7,"",Schema!B166+1))</f>
        <v/>
      </c>
      <c r="C167" s="420" t="str">
        <f>IF($B166="","",IF($B166+1&gt;'Qredits maandlasten'!$C$7,"",EOMONTH(C166,0)+1))</f>
        <v/>
      </c>
      <c r="D167" s="418"/>
      <c r="E167" s="420" t="str">
        <f>IF($B166="","",IF($B166+1&gt;'Qredits maandlasten'!$C$7,"",F166+1))</f>
        <v/>
      </c>
      <c r="F167" s="420" t="str">
        <f>IF($B166="","",IF($B166+1&gt;'Qredits maandlasten'!$C$7,"",EOMONTH(C167,-1)))</f>
        <v/>
      </c>
      <c r="G167" s="421" t="str">
        <f>IF($B166="","",IF($B166+1&gt;'Qredits maandlasten'!$C$7,"",(_xlfn.DAYS(F167,E167)+1)/DAY(F167)))</f>
        <v/>
      </c>
      <c r="H167" s="422"/>
      <c r="I167" s="423" t="str">
        <f>IF($B166="","",IF($B166+1&gt;'Qredits maandlasten'!$C$7,"",I166-J166))</f>
        <v/>
      </c>
      <c r="J167" s="423" t="str">
        <f>IF($B166="","",IF($B166+1&gt;'Qredits maandlasten'!$C$7,"",IF(B166&lt;'Investering &amp; Financiering'!$E$52-1,0,IF('Qredits maandlasten'!$C$10="Lineair",'Qredits maandlasten'!$H$4,IF('Qredits maandlasten'!$C$10="Annuïteit",IFERROR('Qredits maandlasten'!$H$4-K167,0),0)))))</f>
        <v/>
      </c>
      <c r="K167" s="423" t="str">
        <f>IF($B166="","",IF($B166+1&gt;'Qredits maandlasten'!$C$7,"",G167*I167*'Qredits maandlasten'!$C$8/12))</f>
        <v/>
      </c>
      <c r="L167" s="423" t="str">
        <f t="shared" si="12"/>
        <v/>
      </c>
      <c r="M167" s="423" t="str">
        <f t="shared" si="10"/>
        <v/>
      </c>
      <c r="N167" s="422"/>
      <c r="O167" s="424" t="str">
        <f>IF($B167="","",'Qredits maandlasten'!$C$8/12)</f>
        <v/>
      </c>
      <c r="P167" s="424" t="str">
        <f>IF($B167="","",'Qredits maandlasten'!$C$8/12*(POWER(1+'Qredits maandlasten'!$C$8/12,$B167-1+1)))</f>
        <v/>
      </c>
      <c r="Q167" s="424" t="str">
        <f t="shared" si="13"/>
        <v/>
      </c>
      <c r="R167" s="422"/>
      <c r="S167" s="423" t="str">
        <f t="shared" si="11"/>
        <v/>
      </c>
      <c r="T167" s="423" t="str">
        <f>IF(S167="","",J167/(POWER(1+'Qredits maandlasten'!$C$8/12,$B167-1+1)))</f>
        <v/>
      </c>
      <c r="U167" s="425" t="str">
        <f t="shared" si="14"/>
        <v/>
      </c>
      <c r="V167" s="423" t="str">
        <f>IF($B167="","",K167/(POWER(1+'Qredits maandlasten'!$C$8/12,$B167-1+1)))</f>
        <v/>
      </c>
      <c r="W167" s="422"/>
    </row>
    <row r="168" spans="1:23" s="427" customFormat="1" x14ac:dyDescent="0.2">
      <c r="A168" s="418"/>
      <c r="B168" s="419" t="str">
        <f>IF($B167="","",IF($B167+1&gt;'Qredits maandlasten'!$C$7,"",Schema!B167+1))</f>
        <v/>
      </c>
      <c r="C168" s="420" t="str">
        <f>IF($B167="","",IF($B167+1&gt;'Qredits maandlasten'!$C$7,"",EOMONTH(C167,0)+1))</f>
        <v/>
      </c>
      <c r="D168" s="418"/>
      <c r="E168" s="420" t="str">
        <f>IF($B167="","",IF($B167+1&gt;'Qredits maandlasten'!$C$7,"",F167+1))</f>
        <v/>
      </c>
      <c r="F168" s="420" t="str">
        <f>IF($B167="","",IF($B167+1&gt;'Qredits maandlasten'!$C$7,"",EOMONTH(C168,-1)))</f>
        <v/>
      </c>
      <c r="G168" s="421" t="str">
        <f>IF($B167="","",IF($B167+1&gt;'Qredits maandlasten'!$C$7,"",(_xlfn.DAYS(F168,E168)+1)/DAY(F168)))</f>
        <v/>
      </c>
      <c r="H168" s="422"/>
      <c r="I168" s="423" t="str">
        <f>IF($B167="","",IF($B167+1&gt;'Qredits maandlasten'!$C$7,"",I167-J167))</f>
        <v/>
      </c>
      <c r="J168" s="423" t="str">
        <f>IF($B167="","",IF($B167+1&gt;'Qredits maandlasten'!$C$7,"",IF(B167&lt;'Investering &amp; Financiering'!$E$52-1,0,IF('Qredits maandlasten'!$C$10="Lineair",'Qredits maandlasten'!$H$4,IF('Qredits maandlasten'!$C$10="Annuïteit",IFERROR('Qredits maandlasten'!$H$4-K168,0),0)))))</f>
        <v/>
      </c>
      <c r="K168" s="423" t="str">
        <f>IF($B167="","",IF($B167+1&gt;'Qredits maandlasten'!$C$7,"",G168*I168*'Qredits maandlasten'!$C$8/12))</f>
        <v/>
      </c>
      <c r="L168" s="423" t="str">
        <f t="shared" si="12"/>
        <v/>
      </c>
      <c r="M168" s="423" t="str">
        <f t="shared" si="10"/>
        <v/>
      </c>
      <c r="N168" s="422"/>
      <c r="O168" s="424" t="str">
        <f>IF($B168="","",'Qredits maandlasten'!$C$8/12)</f>
        <v/>
      </c>
      <c r="P168" s="424" t="str">
        <f>IF($B168="","",'Qredits maandlasten'!$C$8/12*(POWER(1+'Qredits maandlasten'!$C$8/12,$B168-1+1)))</f>
        <v/>
      </c>
      <c r="Q168" s="424" t="str">
        <f t="shared" si="13"/>
        <v/>
      </c>
      <c r="R168" s="422"/>
      <c r="S168" s="423" t="str">
        <f t="shared" si="11"/>
        <v/>
      </c>
      <c r="T168" s="423" t="str">
        <f>IF(S168="","",J168/(POWER(1+'Qredits maandlasten'!$C$8/12,$B168-1+1)))</f>
        <v/>
      </c>
      <c r="U168" s="425" t="str">
        <f t="shared" si="14"/>
        <v/>
      </c>
      <c r="V168" s="423" t="str">
        <f>IF($B168="","",K168/(POWER(1+'Qredits maandlasten'!$C$8/12,$B168-1+1)))</f>
        <v/>
      </c>
      <c r="W168" s="422"/>
    </row>
    <row r="169" spans="1:23" s="427" customFormat="1" x14ac:dyDescent="0.2">
      <c r="A169" s="418"/>
      <c r="B169" s="419" t="str">
        <f>IF($B168="","",IF($B168+1&gt;'Qredits maandlasten'!$C$7,"",Schema!B168+1))</f>
        <v/>
      </c>
      <c r="C169" s="420" t="str">
        <f>IF($B168="","",IF($B168+1&gt;'Qredits maandlasten'!$C$7,"",EOMONTH(C168,0)+1))</f>
        <v/>
      </c>
      <c r="D169" s="418"/>
      <c r="E169" s="420" t="str">
        <f>IF($B168="","",IF($B168+1&gt;'Qredits maandlasten'!$C$7,"",F168+1))</f>
        <v/>
      </c>
      <c r="F169" s="420" t="str">
        <f>IF($B168="","",IF($B168+1&gt;'Qredits maandlasten'!$C$7,"",EOMONTH(C169,-1)))</f>
        <v/>
      </c>
      <c r="G169" s="421" t="str">
        <f>IF($B168="","",IF($B168+1&gt;'Qredits maandlasten'!$C$7,"",(_xlfn.DAYS(F169,E169)+1)/DAY(F169)))</f>
        <v/>
      </c>
      <c r="H169" s="422"/>
      <c r="I169" s="423" t="str">
        <f>IF($B168="","",IF($B168+1&gt;'Qredits maandlasten'!$C$7,"",I168-J168))</f>
        <v/>
      </c>
      <c r="J169" s="423" t="str">
        <f>IF($B168="","",IF($B168+1&gt;'Qredits maandlasten'!$C$7,"",IF(B168&lt;'Investering &amp; Financiering'!$E$52-1,0,IF('Qredits maandlasten'!$C$10="Lineair",'Qredits maandlasten'!$H$4,IF('Qredits maandlasten'!$C$10="Annuïteit",IFERROR('Qredits maandlasten'!$H$4-K169,0),0)))))</f>
        <v/>
      </c>
      <c r="K169" s="423" t="str">
        <f>IF($B168="","",IF($B168+1&gt;'Qredits maandlasten'!$C$7,"",G169*I169*'Qredits maandlasten'!$C$8/12))</f>
        <v/>
      </c>
      <c r="L169" s="423" t="str">
        <f t="shared" si="12"/>
        <v/>
      </c>
      <c r="M169" s="423" t="str">
        <f t="shared" si="10"/>
        <v/>
      </c>
      <c r="N169" s="422"/>
      <c r="O169" s="424" t="str">
        <f>IF($B169="","",'Qredits maandlasten'!$C$8/12)</f>
        <v/>
      </c>
      <c r="P169" s="424" t="str">
        <f>IF($B169="","",'Qredits maandlasten'!$C$8/12*(POWER(1+'Qredits maandlasten'!$C$8/12,$B169-1+1)))</f>
        <v/>
      </c>
      <c r="Q169" s="424" t="str">
        <f t="shared" si="13"/>
        <v/>
      </c>
      <c r="R169" s="422"/>
      <c r="S169" s="423" t="str">
        <f t="shared" si="11"/>
        <v/>
      </c>
      <c r="T169" s="423" t="str">
        <f>IF(S169="","",J169/(POWER(1+'Qredits maandlasten'!$C$8/12,$B169-1+1)))</f>
        <v/>
      </c>
      <c r="U169" s="425" t="str">
        <f t="shared" si="14"/>
        <v/>
      </c>
      <c r="V169" s="423" t="str">
        <f>IF($B169="","",K169/(POWER(1+'Qredits maandlasten'!$C$8/12,$B169-1+1)))</f>
        <v/>
      </c>
      <c r="W169" s="422"/>
    </row>
    <row r="170" spans="1:23" s="427" customFormat="1" x14ac:dyDescent="0.2">
      <c r="A170" s="418"/>
      <c r="B170" s="419" t="str">
        <f>IF($B169="","",IF($B169+1&gt;'Qredits maandlasten'!$C$7,"",Schema!B169+1))</f>
        <v/>
      </c>
      <c r="C170" s="420" t="str">
        <f>IF($B169="","",IF($B169+1&gt;'Qredits maandlasten'!$C$7,"",EOMONTH(C169,0)+1))</f>
        <v/>
      </c>
      <c r="D170" s="418"/>
      <c r="E170" s="420" t="str">
        <f>IF($B169="","",IF($B169+1&gt;'Qredits maandlasten'!$C$7,"",F169+1))</f>
        <v/>
      </c>
      <c r="F170" s="420" t="str">
        <f>IF($B169="","",IF($B169+1&gt;'Qredits maandlasten'!$C$7,"",EOMONTH(C170,-1)))</f>
        <v/>
      </c>
      <c r="G170" s="421" t="str">
        <f>IF($B169="","",IF($B169+1&gt;'Qredits maandlasten'!$C$7,"",(_xlfn.DAYS(F170,E170)+1)/DAY(F170)))</f>
        <v/>
      </c>
      <c r="H170" s="422"/>
      <c r="I170" s="423" t="str">
        <f>IF($B169="","",IF($B169+1&gt;'Qredits maandlasten'!$C$7,"",I169-J169))</f>
        <v/>
      </c>
      <c r="J170" s="423" t="str">
        <f>IF($B169="","",IF($B169+1&gt;'Qredits maandlasten'!$C$7,"",IF(B169&lt;'Investering &amp; Financiering'!$E$52-1,0,IF('Qredits maandlasten'!$C$10="Lineair",'Qredits maandlasten'!$H$4,IF('Qredits maandlasten'!$C$10="Annuïteit",IFERROR('Qredits maandlasten'!$H$4-K170,0),0)))))</f>
        <v/>
      </c>
      <c r="K170" s="423" t="str">
        <f>IF($B169="","",IF($B169+1&gt;'Qredits maandlasten'!$C$7,"",G170*I170*'Qredits maandlasten'!$C$8/12))</f>
        <v/>
      </c>
      <c r="L170" s="423" t="str">
        <f t="shared" si="12"/>
        <v/>
      </c>
      <c r="M170" s="423" t="str">
        <f t="shared" si="10"/>
        <v/>
      </c>
      <c r="N170" s="422"/>
      <c r="O170" s="424" t="str">
        <f>IF($B170="","",'Qredits maandlasten'!$C$8/12)</f>
        <v/>
      </c>
      <c r="P170" s="424" t="str">
        <f>IF($B170="","",'Qredits maandlasten'!$C$8/12*(POWER(1+'Qredits maandlasten'!$C$8/12,$B170-1+1)))</f>
        <v/>
      </c>
      <c r="Q170" s="424" t="str">
        <f t="shared" si="13"/>
        <v/>
      </c>
      <c r="R170" s="422"/>
      <c r="S170" s="423" t="str">
        <f t="shared" si="11"/>
        <v/>
      </c>
      <c r="T170" s="423" t="str">
        <f>IF(S170="","",J170/(POWER(1+'Qredits maandlasten'!$C$8/12,$B170-1+1)))</f>
        <v/>
      </c>
      <c r="U170" s="425" t="str">
        <f t="shared" si="14"/>
        <v/>
      </c>
      <c r="V170" s="423" t="str">
        <f>IF($B170="","",K170/(POWER(1+'Qredits maandlasten'!$C$8/12,$B170-1+1)))</f>
        <v/>
      </c>
      <c r="W170" s="422"/>
    </row>
    <row r="171" spans="1:23" s="427" customFormat="1" x14ac:dyDescent="0.2">
      <c r="A171" s="418"/>
      <c r="B171" s="419" t="str">
        <f>IF($B170="","",IF($B170+1&gt;'Qredits maandlasten'!$C$7,"",Schema!B170+1))</f>
        <v/>
      </c>
      <c r="C171" s="420" t="str">
        <f>IF($B170="","",IF($B170+1&gt;'Qredits maandlasten'!$C$7,"",EOMONTH(C170,0)+1))</f>
        <v/>
      </c>
      <c r="D171" s="418"/>
      <c r="E171" s="420" t="str">
        <f>IF($B170="","",IF($B170+1&gt;'Qredits maandlasten'!$C$7,"",F170+1))</f>
        <v/>
      </c>
      <c r="F171" s="420" t="str">
        <f>IF($B170="","",IF($B170+1&gt;'Qredits maandlasten'!$C$7,"",EOMONTH(C171,-1)))</f>
        <v/>
      </c>
      <c r="G171" s="421" t="str">
        <f>IF($B170="","",IF($B170+1&gt;'Qredits maandlasten'!$C$7,"",(_xlfn.DAYS(F171,E171)+1)/DAY(F171)))</f>
        <v/>
      </c>
      <c r="H171" s="422"/>
      <c r="I171" s="423" t="str">
        <f>IF($B170="","",IF($B170+1&gt;'Qredits maandlasten'!$C$7,"",I170-J170))</f>
        <v/>
      </c>
      <c r="J171" s="423" t="str">
        <f>IF($B170="","",IF($B170+1&gt;'Qredits maandlasten'!$C$7,"",IF(B170&lt;'Investering &amp; Financiering'!$E$52-1,0,IF('Qredits maandlasten'!$C$10="Lineair",'Qredits maandlasten'!$H$4,IF('Qredits maandlasten'!$C$10="Annuïteit",IFERROR('Qredits maandlasten'!$H$4-K171,0),0)))))</f>
        <v/>
      </c>
      <c r="K171" s="423" t="str">
        <f>IF($B170="","",IF($B170+1&gt;'Qredits maandlasten'!$C$7,"",G171*I171*'Qredits maandlasten'!$C$8/12))</f>
        <v/>
      </c>
      <c r="L171" s="423" t="str">
        <f t="shared" si="12"/>
        <v/>
      </c>
      <c r="M171" s="423" t="str">
        <f t="shared" si="10"/>
        <v/>
      </c>
      <c r="N171" s="422"/>
      <c r="O171" s="424" t="str">
        <f>IF($B171="","",'Qredits maandlasten'!$C$8/12)</f>
        <v/>
      </c>
      <c r="P171" s="424" t="str">
        <f>IF($B171="","",'Qredits maandlasten'!$C$8/12*(POWER(1+'Qredits maandlasten'!$C$8/12,$B171-1+1)))</f>
        <v/>
      </c>
      <c r="Q171" s="424" t="str">
        <f t="shared" si="13"/>
        <v/>
      </c>
      <c r="R171" s="422"/>
      <c r="S171" s="423" t="str">
        <f t="shared" si="11"/>
        <v/>
      </c>
      <c r="T171" s="423" t="str">
        <f>IF(S171="","",J171/(POWER(1+'Qredits maandlasten'!$C$8/12,$B171-1+1)))</f>
        <v/>
      </c>
      <c r="U171" s="425" t="str">
        <f t="shared" si="14"/>
        <v/>
      </c>
      <c r="V171" s="423" t="str">
        <f>IF($B171="","",K171/(POWER(1+'Qredits maandlasten'!$C$8/12,$B171-1+1)))</f>
        <v/>
      </c>
      <c r="W171" s="422"/>
    </row>
    <row r="172" spans="1:23" s="427" customFormat="1" x14ac:dyDescent="0.2">
      <c r="A172" s="418"/>
      <c r="B172" s="419" t="str">
        <f>IF($B171="","",IF($B171+1&gt;'Qredits maandlasten'!$C$7,"",Schema!B171+1))</f>
        <v/>
      </c>
      <c r="C172" s="420" t="str">
        <f>IF($B171="","",IF($B171+1&gt;'Qredits maandlasten'!$C$7,"",EOMONTH(C171,0)+1))</f>
        <v/>
      </c>
      <c r="D172" s="418"/>
      <c r="E172" s="420" t="str">
        <f>IF($B171="","",IF($B171+1&gt;'Qredits maandlasten'!$C$7,"",F171+1))</f>
        <v/>
      </c>
      <c r="F172" s="420" t="str">
        <f>IF($B171="","",IF($B171+1&gt;'Qredits maandlasten'!$C$7,"",EOMONTH(C172,-1)))</f>
        <v/>
      </c>
      <c r="G172" s="421" t="str">
        <f>IF($B171="","",IF($B171+1&gt;'Qredits maandlasten'!$C$7,"",(_xlfn.DAYS(F172,E172)+1)/DAY(F172)))</f>
        <v/>
      </c>
      <c r="H172" s="422"/>
      <c r="I172" s="423" t="str">
        <f>IF($B171="","",IF($B171+1&gt;'Qredits maandlasten'!$C$7,"",I171-J171))</f>
        <v/>
      </c>
      <c r="J172" s="423" t="str">
        <f>IF($B171="","",IF($B171+1&gt;'Qredits maandlasten'!$C$7,"",IF(B171&lt;'Investering &amp; Financiering'!$E$52-1,0,IF('Qredits maandlasten'!$C$10="Lineair",'Qredits maandlasten'!$H$4,IF('Qredits maandlasten'!$C$10="Annuïteit",IFERROR('Qredits maandlasten'!$H$4-K172,0),0)))))</f>
        <v/>
      </c>
      <c r="K172" s="423" t="str">
        <f>IF($B171="","",IF($B171+1&gt;'Qredits maandlasten'!$C$7,"",G172*I172*'Qredits maandlasten'!$C$8/12))</f>
        <v/>
      </c>
      <c r="L172" s="423" t="str">
        <f t="shared" si="12"/>
        <v/>
      </c>
      <c r="M172" s="423" t="str">
        <f t="shared" si="10"/>
        <v/>
      </c>
      <c r="N172" s="422"/>
      <c r="O172" s="424" t="str">
        <f>IF($B172="","",'Qredits maandlasten'!$C$8/12)</f>
        <v/>
      </c>
      <c r="P172" s="424" t="str">
        <f>IF($B172="","",'Qredits maandlasten'!$C$8/12*(POWER(1+'Qredits maandlasten'!$C$8/12,$B172-1+1)))</f>
        <v/>
      </c>
      <c r="Q172" s="424" t="str">
        <f t="shared" si="13"/>
        <v/>
      </c>
      <c r="R172" s="422"/>
      <c r="S172" s="423" t="str">
        <f t="shared" si="11"/>
        <v/>
      </c>
      <c r="T172" s="423" t="str">
        <f>IF(S172="","",J172/(POWER(1+'Qredits maandlasten'!$C$8/12,$B172-1+1)))</f>
        <v/>
      </c>
      <c r="U172" s="425" t="str">
        <f t="shared" si="14"/>
        <v/>
      </c>
      <c r="V172" s="423" t="str">
        <f>IF($B172="","",K172/(POWER(1+'Qredits maandlasten'!$C$8/12,$B172-1+1)))</f>
        <v/>
      </c>
      <c r="W172" s="422"/>
    </row>
    <row r="173" spans="1:23" s="427" customFormat="1" x14ac:dyDescent="0.2">
      <c r="A173" s="418"/>
      <c r="B173" s="419" t="str">
        <f>IF($B172="","",IF($B172+1&gt;'Qredits maandlasten'!$C$7,"",Schema!B172+1))</f>
        <v/>
      </c>
      <c r="C173" s="420" t="str">
        <f>IF($B172="","",IF($B172+1&gt;'Qredits maandlasten'!$C$7,"",EOMONTH(C172,0)+1))</f>
        <v/>
      </c>
      <c r="D173" s="418"/>
      <c r="E173" s="420" t="str">
        <f>IF($B172="","",IF($B172+1&gt;'Qredits maandlasten'!$C$7,"",F172+1))</f>
        <v/>
      </c>
      <c r="F173" s="420" t="str">
        <f>IF($B172="","",IF($B172+1&gt;'Qredits maandlasten'!$C$7,"",EOMONTH(C173,-1)))</f>
        <v/>
      </c>
      <c r="G173" s="421" t="str">
        <f>IF($B172="","",IF($B172+1&gt;'Qredits maandlasten'!$C$7,"",(_xlfn.DAYS(F173,E173)+1)/DAY(F173)))</f>
        <v/>
      </c>
      <c r="H173" s="422"/>
      <c r="I173" s="423" t="str">
        <f>IF($B172="","",IF($B172+1&gt;'Qredits maandlasten'!$C$7,"",I172-J172))</f>
        <v/>
      </c>
      <c r="J173" s="423" t="str">
        <f>IF($B172="","",IF($B172+1&gt;'Qredits maandlasten'!$C$7,"",IF(B172&lt;'Investering &amp; Financiering'!$E$52-1,0,IF('Qredits maandlasten'!$C$10="Lineair",'Qredits maandlasten'!$H$4,IF('Qredits maandlasten'!$C$10="Annuïteit",IFERROR('Qredits maandlasten'!$H$4-K173,0),0)))))</f>
        <v/>
      </c>
      <c r="K173" s="423" t="str">
        <f>IF($B172="","",IF($B172+1&gt;'Qredits maandlasten'!$C$7,"",G173*I173*'Qredits maandlasten'!$C$8/12))</f>
        <v/>
      </c>
      <c r="L173" s="423" t="str">
        <f t="shared" si="12"/>
        <v/>
      </c>
      <c r="M173" s="423" t="str">
        <f t="shared" si="10"/>
        <v/>
      </c>
      <c r="N173" s="422"/>
      <c r="O173" s="424" t="str">
        <f>IF($B173="","",'Qredits maandlasten'!$C$8/12)</f>
        <v/>
      </c>
      <c r="P173" s="424" t="str">
        <f>IF($B173="","",'Qredits maandlasten'!$C$8/12*(POWER(1+'Qredits maandlasten'!$C$8/12,$B173-1+1)))</f>
        <v/>
      </c>
      <c r="Q173" s="424" t="str">
        <f t="shared" si="13"/>
        <v/>
      </c>
      <c r="R173" s="422"/>
      <c r="S173" s="423" t="str">
        <f t="shared" si="11"/>
        <v/>
      </c>
      <c r="T173" s="423" t="str">
        <f>IF(S173="","",J173/(POWER(1+'Qredits maandlasten'!$C$8/12,$B173-1+1)))</f>
        <v/>
      </c>
      <c r="U173" s="425" t="str">
        <f t="shared" si="14"/>
        <v/>
      </c>
      <c r="V173" s="423" t="str">
        <f>IF($B173="","",K173/(POWER(1+'Qredits maandlasten'!$C$8/12,$B173-1+1)))</f>
        <v/>
      </c>
      <c r="W173" s="422"/>
    </row>
    <row r="174" spans="1:23" s="427" customFormat="1" x14ac:dyDescent="0.2">
      <c r="A174" s="418"/>
      <c r="B174" s="419" t="str">
        <f>IF($B173="","",IF($B173+1&gt;'Qredits maandlasten'!$C$7,"",Schema!B173+1))</f>
        <v/>
      </c>
      <c r="C174" s="420" t="str">
        <f>IF($B173="","",IF($B173+1&gt;'Qredits maandlasten'!$C$7,"",EOMONTH(C173,0)+1))</f>
        <v/>
      </c>
      <c r="D174" s="418"/>
      <c r="E174" s="420" t="str">
        <f>IF($B173="","",IF($B173+1&gt;'Qredits maandlasten'!$C$7,"",F173+1))</f>
        <v/>
      </c>
      <c r="F174" s="420" t="str">
        <f>IF($B173="","",IF($B173+1&gt;'Qredits maandlasten'!$C$7,"",EOMONTH(C174,-1)))</f>
        <v/>
      </c>
      <c r="G174" s="421" t="str">
        <f>IF($B173="","",IF($B173+1&gt;'Qredits maandlasten'!$C$7,"",(_xlfn.DAYS(F174,E174)+1)/DAY(F174)))</f>
        <v/>
      </c>
      <c r="H174" s="422"/>
      <c r="I174" s="423" t="str">
        <f>IF($B173="","",IF($B173+1&gt;'Qredits maandlasten'!$C$7,"",I173-J173))</f>
        <v/>
      </c>
      <c r="J174" s="423" t="str">
        <f>IF($B173="","",IF($B173+1&gt;'Qredits maandlasten'!$C$7,"",IF(B173&lt;'Investering &amp; Financiering'!$E$52-1,0,IF('Qredits maandlasten'!$C$10="Lineair",'Qredits maandlasten'!$H$4,IF('Qredits maandlasten'!$C$10="Annuïteit",IFERROR('Qredits maandlasten'!$H$4-K174,0),0)))))</f>
        <v/>
      </c>
      <c r="K174" s="423" t="str">
        <f>IF($B173="","",IF($B173+1&gt;'Qredits maandlasten'!$C$7,"",G174*I174*'Qredits maandlasten'!$C$8/12))</f>
        <v/>
      </c>
      <c r="L174" s="423" t="str">
        <f t="shared" si="12"/>
        <v/>
      </c>
      <c r="M174" s="423" t="str">
        <f t="shared" si="10"/>
        <v/>
      </c>
      <c r="N174" s="422"/>
      <c r="O174" s="424" t="str">
        <f>IF($B174="","",'Qredits maandlasten'!$C$8/12)</f>
        <v/>
      </c>
      <c r="P174" s="424" t="str">
        <f>IF($B174="","",'Qredits maandlasten'!$C$8/12*(POWER(1+'Qredits maandlasten'!$C$8/12,$B174-1+1)))</f>
        <v/>
      </c>
      <c r="Q174" s="424" t="str">
        <f t="shared" si="13"/>
        <v/>
      </c>
      <c r="R174" s="422"/>
      <c r="S174" s="423" t="str">
        <f t="shared" si="11"/>
        <v/>
      </c>
      <c r="T174" s="423" t="str">
        <f>IF(S174="","",J174/(POWER(1+'Qredits maandlasten'!$C$8/12,$B174-1+1)))</f>
        <v/>
      </c>
      <c r="U174" s="425" t="str">
        <f t="shared" si="14"/>
        <v/>
      </c>
      <c r="V174" s="423" t="str">
        <f>IF($B174="","",K174/(POWER(1+'Qredits maandlasten'!$C$8/12,$B174-1+1)))</f>
        <v/>
      </c>
      <c r="W174" s="422"/>
    </row>
    <row r="175" spans="1:23" s="427" customFormat="1" x14ac:dyDescent="0.2">
      <c r="A175" s="418"/>
      <c r="B175" s="419" t="str">
        <f>IF($B174="","",IF($B174+1&gt;'Qredits maandlasten'!$C$7,"",Schema!B174+1))</f>
        <v/>
      </c>
      <c r="C175" s="420" t="str">
        <f>IF($B174="","",IF($B174+1&gt;'Qredits maandlasten'!$C$7,"",EOMONTH(C174,0)+1))</f>
        <v/>
      </c>
      <c r="D175" s="418"/>
      <c r="E175" s="420" t="str">
        <f>IF($B174="","",IF($B174+1&gt;'Qredits maandlasten'!$C$7,"",F174+1))</f>
        <v/>
      </c>
      <c r="F175" s="420" t="str">
        <f>IF($B174="","",IF($B174+1&gt;'Qredits maandlasten'!$C$7,"",EOMONTH(C175,-1)))</f>
        <v/>
      </c>
      <c r="G175" s="421" t="str">
        <f>IF($B174="","",IF($B174+1&gt;'Qredits maandlasten'!$C$7,"",(_xlfn.DAYS(F175,E175)+1)/DAY(F175)))</f>
        <v/>
      </c>
      <c r="H175" s="422"/>
      <c r="I175" s="423" t="str">
        <f>IF($B174="","",IF($B174+1&gt;'Qredits maandlasten'!$C$7,"",I174-J174))</f>
        <v/>
      </c>
      <c r="J175" s="423" t="str">
        <f>IF($B174="","",IF($B174+1&gt;'Qredits maandlasten'!$C$7,"",IF(B174&lt;'Investering &amp; Financiering'!$E$52-1,0,IF('Qredits maandlasten'!$C$10="Lineair",'Qredits maandlasten'!$H$4,IF('Qredits maandlasten'!$C$10="Annuïteit",IFERROR('Qredits maandlasten'!$H$4-K175,0),0)))))</f>
        <v/>
      </c>
      <c r="K175" s="423" t="str">
        <f>IF($B174="","",IF($B174+1&gt;'Qredits maandlasten'!$C$7,"",G175*I175*'Qredits maandlasten'!$C$8/12))</f>
        <v/>
      </c>
      <c r="L175" s="423" t="str">
        <f t="shared" si="12"/>
        <v/>
      </c>
      <c r="M175" s="423" t="str">
        <f t="shared" si="10"/>
        <v/>
      </c>
      <c r="N175" s="422"/>
      <c r="O175" s="424" t="str">
        <f>IF($B175="","",'Qredits maandlasten'!$C$8/12)</f>
        <v/>
      </c>
      <c r="P175" s="424" t="str">
        <f>IF($B175="","",'Qredits maandlasten'!$C$8/12*(POWER(1+'Qredits maandlasten'!$C$8/12,$B175-1+1)))</f>
        <v/>
      </c>
      <c r="Q175" s="424" t="str">
        <f t="shared" si="13"/>
        <v/>
      </c>
      <c r="R175" s="422"/>
      <c r="S175" s="423" t="str">
        <f t="shared" si="11"/>
        <v/>
      </c>
      <c r="T175" s="423" t="str">
        <f>IF(S175="","",J175/(POWER(1+'Qredits maandlasten'!$C$8/12,$B175-1+1)))</f>
        <v/>
      </c>
      <c r="U175" s="425" t="str">
        <f t="shared" si="14"/>
        <v/>
      </c>
      <c r="V175" s="423" t="str">
        <f>IF($B175="","",K175/(POWER(1+'Qredits maandlasten'!$C$8/12,$B175-1+1)))</f>
        <v/>
      </c>
      <c r="W175" s="422"/>
    </row>
    <row r="176" spans="1:23" s="427" customFormat="1" x14ac:dyDescent="0.2">
      <c r="A176" s="418"/>
      <c r="B176" s="419" t="str">
        <f>IF($B175="","",IF($B175+1&gt;'Qredits maandlasten'!$C$7,"",Schema!B175+1))</f>
        <v/>
      </c>
      <c r="C176" s="420" t="str">
        <f>IF($B175="","",IF($B175+1&gt;'Qredits maandlasten'!$C$7,"",EOMONTH(C175,0)+1))</f>
        <v/>
      </c>
      <c r="D176" s="418"/>
      <c r="E176" s="420" t="str">
        <f>IF($B175="","",IF($B175+1&gt;'Qredits maandlasten'!$C$7,"",F175+1))</f>
        <v/>
      </c>
      <c r="F176" s="420" t="str">
        <f>IF($B175="","",IF($B175+1&gt;'Qredits maandlasten'!$C$7,"",EOMONTH(C176,-1)))</f>
        <v/>
      </c>
      <c r="G176" s="421" t="str">
        <f>IF($B175="","",IF($B175+1&gt;'Qredits maandlasten'!$C$7,"",(_xlfn.DAYS(F176,E176)+1)/DAY(F176)))</f>
        <v/>
      </c>
      <c r="H176" s="422"/>
      <c r="I176" s="423" t="str">
        <f>IF($B175="","",IF($B175+1&gt;'Qredits maandlasten'!$C$7,"",I175-J175))</f>
        <v/>
      </c>
      <c r="J176" s="423" t="str">
        <f>IF($B175="","",IF($B175+1&gt;'Qredits maandlasten'!$C$7,"",IF(B175&lt;'Investering &amp; Financiering'!$E$52-1,0,IF('Qredits maandlasten'!$C$10="Lineair",'Qredits maandlasten'!$H$4,IF('Qredits maandlasten'!$C$10="Annuïteit",IFERROR('Qredits maandlasten'!$H$4-K176,0),0)))))</f>
        <v/>
      </c>
      <c r="K176" s="423" t="str">
        <f>IF($B175="","",IF($B175+1&gt;'Qredits maandlasten'!$C$7,"",G176*I176*'Qredits maandlasten'!$C$8/12))</f>
        <v/>
      </c>
      <c r="L176" s="423" t="str">
        <f t="shared" si="12"/>
        <v/>
      </c>
      <c r="M176" s="423" t="str">
        <f t="shared" si="10"/>
        <v/>
      </c>
      <c r="N176" s="422"/>
      <c r="O176" s="424" t="str">
        <f>IF($B176="","",'Qredits maandlasten'!$C$8/12)</f>
        <v/>
      </c>
      <c r="P176" s="424" t="str">
        <f>IF($B176="","",'Qredits maandlasten'!$C$8/12*(POWER(1+'Qredits maandlasten'!$C$8/12,$B176-1+1)))</f>
        <v/>
      </c>
      <c r="Q176" s="424" t="str">
        <f t="shared" si="13"/>
        <v/>
      </c>
      <c r="R176" s="422"/>
      <c r="S176" s="423" t="str">
        <f t="shared" si="11"/>
        <v/>
      </c>
      <c r="T176" s="423" t="str">
        <f>IF(S176="","",J176/(POWER(1+'Qredits maandlasten'!$C$8/12,$B176-1+1)))</f>
        <v/>
      </c>
      <c r="U176" s="425" t="str">
        <f t="shared" si="14"/>
        <v/>
      </c>
      <c r="V176" s="423" t="str">
        <f>IF($B176="","",K176/(POWER(1+'Qredits maandlasten'!$C$8/12,$B176-1+1)))</f>
        <v/>
      </c>
      <c r="W176" s="422"/>
    </row>
    <row r="177" spans="1:23" s="427" customFormat="1" x14ac:dyDescent="0.2">
      <c r="A177" s="418"/>
      <c r="B177" s="419" t="str">
        <f>IF($B176="","",IF($B176+1&gt;'Qredits maandlasten'!$C$7,"",Schema!B176+1))</f>
        <v/>
      </c>
      <c r="C177" s="420" t="str">
        <f>IF($B176="","",IF($B176+1&gt;'Qredits maandlasten'!$C$7,"",EOMONTH(C176,0)+1))</f>
        <v/>
      </c>
      <c r="D177" s="418"/>
      <c r="E177" s="420" t="str">
        <f>IF($B176="","",IF($B176+1&gt;'Qredits maandlasten'!$C$7,"",F176+1))</f>
        <v/>
      </c>
      <c r="F177" s="420" t="str">
        <f>IF($B176="","",IF($B176+1&gt;'Qredits maandlasten'!$C$7,"",EOMONTH(C177,-1)))</f>
        <v/>
      </c>
      <c r="G177" s="421" t="str">
        <f>IF($B176="","",IF($B176+1&gt;'Qredits maandlasten'!$C$7,"",(_xlfn.DAYS(F177,E177)+1)/DAY(F177)))</f>
        <v/>
      </c>
      <c r="H177" s="422"/>
      <c r="I177" s="423" t="str">
        <f>IF($B176="","",IF($B176+1&gt;'Qredits maandlasten'!$C$7,"",I176-J176))</f>
        <v/>
      </c>
      <c r="J177" s="423" t="str">
        <f>IF($B176="","",IF($B176+1&gt;'Qredits maandlasten'!$C$7,"",IF(B176&lt;'Investering &amp; Financiering'!$E$52-1,0,IF('Qredits maandlasten'!$C$10="Lineair",'Qredits maandlasten'!$H$4,IF('Qredits maandlasten'!$C$10="Annuïteit",IFERROR('Qredits maandlasten'!$H$4-K177,0),0)))))</f>
        <v/>
      </c>
      <c r="K177" s="423" t="str">
        <f>IF($B176="","",IF($B176+1&gt;'Qredits maandlasten'!$C$7,"",G177*I177*'Qredits maandlasten'!$C$8/12))</f>
        <v/>
      </c>
      <c r="L177" s="423" t="str">
        <f t="shared" si="12"/>
        <v/>
      </c>
      <c r="M177" s="423" t="str">
        <f t="shared" si="10"/>
        <v/>
      </c>
      <c r="N177" s="422"/>
      <c r="O177" s="424" t="str">
        <f>IF($B177="","",'Qredits maandlasten'!$C$8/12)</f>
        <v/>
      </c>
      <c r="P177" s="424" t="str">
        <f>IF($B177="","",'Qredits maandlasten'!$C$8/12*(POWER(1+'Qredits maandlasten'!$C$8/12,$B177-1+1)))</f>
        <v/>
      </c>
      <c r="Q177" s="424" t="str">
        <f t="shared" si="13"/>
        <v/>
      </c>
      <c r="R177" s="422"/>
      <c r="S177" s="423" t="str">
        <f t="shared" si="11"/>
        <v/>
      </c>
      <c r="T177" s="423" t="str">
        <f>IF(S177="","",J177/(POWER(1+'Qredits maandlasten'!$C$8/12,$B177-1+1)))</f>
        <v/>
      </c>
      <c r="U177" s="425" t="str">
        <f t="shared" si="14"/>
        <v/>
      </c>
      <c r="V177" s="423" t="str">
        <f>IF($B177="","",K177/(POWER(1+'Qredits maandlasten'!$C$8/12,$B177-1+1)))</f>
        <v/>
      </c>
      <c r="W177" s="422"/>
    </row>
    <row r="178" spans="1:23" s="427" customFormat="1" x14ac:dyDescent="0.2">
      <c r="A178" s="418"/>
      <c r="B178" s="419" t="str">
        <f>IF($B177="","",IF($B177+1&gt;'Qredits maandlasten'!$C$7,"",Schema!B177+1))</f>
        <v/>
      </c>
      <c r="C178" s="420" t="str">
        <f>IF($B177="","",IF($B177+1&gt;'Qredits maandlasten'!$C$7,"",EOMONTH(C177,0)+1))</f>
        <v/>
      </c>
      <c r="D178" s="418"/>
      <c r="E178" s="420" t="str">
        <f>IF($B177="","",IF($B177+1&gt;'Qredits maandlasten'!$C$7,"",F177+1))</f>
        <v/>
      </c>
      <c r="F178" s="420" t="str">
        <f>IF($B177="","",IF($B177+1&gt;'Qredits maandlasten'!$C$7,"",EOMONTH(C178,-1)))</f>
        <v/>
      </c>
      <c r="G178" s="421" t="str">
        <f>IF($B177="","",IF($B177+1&gt;'Qredits maandlasten'!$C$7,"",(_xlfn.DAYS(F178,E178)+1)/DAY(F178)))</f>
        <v/>
      </c>
      <c r="H178" s="422"/>
      <c r="I178" s="423" t="str">
        <f>IF($B177="","",IF($B177+1&gt;'Qredits maandlasten'!$C$7,"",I177-J177))</f>
        <v/>
      </c>
      <c r="J178" s="423" t="str">
        <f>IF($B177="","",IF($B177+1&gt;'Qredits maandlasten'!$C$7,"",IF(B177&lt;'Investering &amp; Financiering'!$E$52-1,0,IF('Qredits maandlasten'!$C$10="Lineair",'Qredits maandlasten'!$H$4,IF('Qredits maandlasten'!$C$10="Annuïteit",IFERROR('Qredits maandlasten'!$H$4-K178,0),0)))))</f>
        <v/>
      </c>
      <c r="K178" s="423" t="str">
        <f>IF($B177="","",IF($B177+1&gt;'Qredits maandlasten'!$C$7,"",G178*I178*'Qredits maandlasten'!$C$8/12))</f>
        <v/>
      </c>
      <c r="L178" s="423" t="str">
        <f t="shared" si="12"/>
        <v/>
      </c>
      <c r="M178" s="423" t="str">
        <f t="shared" si="10"/>
        <v/>
      </c>
      <c r="N178" s="422"/>
      <c r="O178" s="424" t="str">
        <f>IF($B178="","",'Qredits maandlasten'!$C$8/12)</f>
        <v/>
      </c>
      <c r="P178" s="424" t="str">
        <f>IF($B178="","",'Qredits maandlasten'!$C$8/12*(POWER(1+'Qredits maandlasten'!$C$8/12,$B178-1+1)))</f>
        <v/>
      </c>
      <c r="Q178" s="424" t="str">
        <f t="shared" si="13"/>
        <v/>
      </c>
      <c r="R178" s="422"/>
      <c r="S178" s="423" t="str">
        <f t="shared" si="11"/>
        <v/>
      </c>
      <c r="T178" s="423" t="str">
        <f>IF(S178="","",J178/(POWER(1+'Qredits maandlasten'!$C$8/12,$B178-1+1)))</f>
        <v/>
      </c>
      <c r="U178" s="425" t="str">
        <f t="shared" si="14"/>
        <v/>
      </c>
      <c r="V178" s="423" t="str">
        <f>IF($B178="","",K178/(POWER(1+'Qredits maandlasten'!$C$8/12,$B178-1+1)))</f>
        <v/>
      </c>
      <c r="W178" s="422"/>
    </row>
    <row r="179" spans="1:23" s="427" customFormat="1" x14ac:dyDescent="0.2">
      <c r="A179" s="418"/>
      <c r="B179" s="419" t="str">
        <f>IF($B178="","",IF($B178+1&gt;'Qredits maandlasten'!$C$7,"",Schema!B178+1))</f>
        <v/>
      </c>
      <c r="C179" s="420" t="str">
        <f>IF($B178="","",IF($B178+1&gt;'Qredits maandlasten'!$C$7,"",EOMONTH(C178,0)+1))</f>
        <v/>
      </c>
      <c r="D179" s="418"/>
      <c r="E179" s="420" t="str">
        <f>IF($B178="","",IF($B178+1&gt;'Qredits maandlasten'!$C$7,"",F178+1))</f>
        <v/>
      </c>
      <c r="F179" s="420" t="str">
        <f>IF($B178="","",IF($B178+1&gt;'Qredits maandlasten'!$C$7,"",EOMONTH(C179,-1)))</f>
        <v/>
      </c>
      <c r="G179" s="421" t="str">
        <f>IF($B178="","",IF($B178+1&gt;'Qredits maandlasten'!$C$7,"",(_xlfn.DAYS(F179,E179)+1)/DAY(F179)))</f>
        <v/>
      </c>
      <c r="H179" s="422"/>
      <c r="I179" s="423" t="str">
        <f>IF($B178="","",IF($B178+1&gt;'Qredits maandlasten'!$C$7,"",I178-J178))</f>
        <v/>
      </c>
      <c r="J179" s="423" t="str">
        <f>IF($B178="","",IF($B178+1&gt;'Qredits maandlasten'!$C$7,"",IF(B178&lt;'Investering &amp; Financiering'!$E$52-1,0,IF('Qredits maandlasten'!$C$10="Lineair",'Qredits maandlasten'!$H$4,IF('Qredits maandlasten'!$C$10="Annuïteit",IFERROR('Qredits maandlasten'!$H$4-K179,0),0)))))</f>
        <v/>
      </c>
      <c r="K179" s="423" t="str">
        <f>IF($B178="","",IF($B178+1&gt;'Qredits maandlasten'!$C$7,"",G179*I179*'Qredits maandlasten'!$C$8/12))</f>
        <v/>
      </c>
      <c r="L179" s="423" t="str">
        <f t="shared" si="12"/>
        <v/>
      </c>
      <c r="M179" s="423" t="str">
        <f t="shared" si="10"/>
        <v/>
      </c>
      <c r="N179" s="422"/>
      <c r="O179" s="424" t="str">
        <f>IF($B179="","",'Qredits maandlasten'!$C$8/12)</f>
        <v/>
      </c>
      <c r="P179" s="424" t="str">
        <f>IF($B179="","",'Qredits maandlasten'!$C$8/12*(POWER(1+'Qredits maandlasten'!$C$8/12,$B179-1+1)))</f>
        <v/>
      </c>
      <c r="Q179" s="424" t="str">
        <f t="shared" si="13"/>
        <v/>
      </c>
      <c r="R179" s="422"/>
      <c r="S179" s="423" t="str">
        <f t="shared" si="11"/>
        <v/>
      </c>
      <c r="T179" s="423" t="str">
        <f>IF(S179="","",J179/(POWER(1+'Qredits maandlasten'!$C$8/12,$B179-1+1)))</f>
        <v/>
      </c>
      <c r="U179" s="425" t="str">
        <f t="shared" si="14"/>
        <v/>
      </c>
      <c r="V179" s="423" t="str">
        <f>IF($B179="","",K179/(POWER(1+'Qredits maandlasten'!$C$8/12,$B179-1+1)))</f>
        <v/>
      </c>
      <c r="W179" s="422"/>
    </row>
    <row r="180" spans="1:23" s="427" customFormat="1" x14ac:dyDescent="0.2">
      <c r="A180" s="418"/>
      <c r="B180" s="419" t="str">
        <f>IF($B179="","",IF($B179+1&gt;'Qredits maandlasten'!$C$7,"",Schema!B179+1))</f>
        <v/>
      </c>
      <c r="C180" s="420" t="str">
        <f>IF($B179="","",IF($B179+1&gt;'Qredits maandlasten'!$C$7,"",EOMONTH(C179,0)+1))</f>
        <v/>
      </c>
      <c r="D180" s="418"/>
      <c r="E180" s="420" t="str">
        <f>IF($B179="","",IF($B179+1&gt;'Qredits maandlasten'!$C$7,"",F179+1))</f>
        <v/>
      </c>
      <c r="F180" s="420" t="str">
        <f>IF($B179="","",IF($B179+1&gt;'Qredits maandlasten'!$C$7,"",EOMONTH(C180,-1)))</f>
        <v/>
      </c>
      <c r="G180" s="421" t="str">
        <f>IF($B179="","",IF($B179+1&gt;'Qredits maandlasten'!$C$7,"",(_xlfn.DAYS(F180,E180)+1)/DAY(F180)))</f>
        <v/>
      </c>
      <c r="H180" s="422"/>
      <c r="I180" s="423" t="str">
        <f>IF($B179="","",IF($B179+1&gt;'Qredits maandlasten'!$C$7,"",I179-J179))</f>
        <v/>
      </c>
      <c r="J180" s="423" t="str">
        <f>IF($B179="","",IF($B179+1&gt;'Qredits maandlasten'!$C$7,"",IF(B179&lt;'Investering &amp; Financiering'!$E$52-1,0,IF('Qredits maandlasten'!$C$10="Lineair",'Qredits maandlasten'!$H$4,IF('Qredits maandlasten'!$C$10="Annuïteit",IFERROR('Qredits maandlasten'!$H$4-K180,0),0)))))</f>
        <v/>
      </c>
      <c r="K180" s="423" t="str">
        <f>IF($B179="","",IF($B179+1&gt;'Qredits maandlasten'!$C$7,"",G180*I180*'Qredits maandlasten'!$C$8/12))</f>
        <v/>
      </c>
      <c r="L180" s="423" t="str">
        <f t="shared" si="12"/>
        <v/>
      </c>
      <c r="M180" s="423" t="str">
        <f t="shared" si="10"/>
        <v/>
      </c>
      <c r="N180" s="422"/>
      <c r="O180" s="424" t="str">
        <f>IF($B180="","",'Qredits maandlasten'!$C$8/12)</f>
        <v/>
      </c>
      <c r="P180" s="424" t="str">
        <f>IF($B180="","",'Qredits maandlasten'!$C$8/12*(POWER(1+'Qredits maandlasten'!$C$8/12,$B180-1+1)))</f>
        <v/>
      </c>
      <c r="Q180" s="424" t="str">
        <f t="shared" si="13"/>
        <v/>
      </c>
      <c r="R180" s="422"/>
      <c r="S180" s="423" t="str">
        <f t="shared" si="11"/>
        <v/>
      </c>
      <c r="T180" s="423" t="str">
        <f>IF(S180="","",J180/(POWER(1+'Qredits maandlasten'!$C$8/12,$B180-1+1)))</f>
        <v/>
      </c>
      <c r="U180" s="425" t="str">
        <f t="shared" si="14"/>
        <v/>
      </c>
      <c r="V180" s="423" t="str">
        <f>IF($B180="","",K180/(POWER(1+'Qredits maandlasten'!$C$8/12,$B180-1+1)))</f>
        <v/>
      </c>
      <c r="W180" s="422"/>
    </row>
    <row r="181" spans="1:23" s="427" customFormat="1" x14ac:dyDescent="0.2">
      <c r="A181" s="418"/>
      <c r="B181" s="419" t="str">
        <f>IF($B180="","",IF($B180+1&gt;'Qredits maandlasten'!$C$7,"",Schema!B180+1))</f>
        <v/>
      </c>
      <c r="C181" s="420" t="str">
        <f>IF($B180="","",IF($B180+1&gt;'Qredits maandlasten'!$C$7,"",EOMONTH(C180,0)+1))</f>
        <v/>
      </c>
      <c r="D181" s="418"/>
      <c r="E181" s="420" t="str">
        <f>IF($B180="","",IF($B180+1&gt;'Qredits maandlasten'!$C$7,"",F180+1))</f>
        <v/>
      </c>
      <c r="F181" s="420" t="str">
        <f>IF($B180="","",IF($B180+1&gt;'Qredits maandlasten'!$C$7,"",EOMONTH(C181,-1)))</f>
        <v/>
      </c>
      <c r="G181" s="421" t="str">
        <f>IF($B180="","",IF($B180+1&gt;'Qredits maandlasten'!$C$7,"",(_xlfn.DAYS(F181,E181)+1)/DAY(F181)))</f>
        <v/>
      </c>
      <c r="H181" s="422"/>
      <c r="I181" s="423" t="str">
        <f>IF($B180="","",IF($B180+1&gt;'Qredits maandlasten'!$C$7,"",I180-J180))</f>
        <v/>
      </c>
      <c r="J181" s="423" t="str">
        <f>IF($B180="","",IF($B180+1&gt;'Qredits maandlasten'!$C$7,"",IF(B180&lt;'Investering &amp; Financiering'!$E$52-1,0,IF('Qredits maandlasten'!$C$10="Lineair",'Qredits maandlasten'!$H$4,IF('Qredits maandlasten'!$C$10="Annuïteit",IFERROR('Qredits maandlasten'!$H$4-K181,0),0)))))</f>
        <v/>
      </c>
      <c r="K181" s="423" t="str">
        <f>IF($B180="","",IF($B180+1&gt;'Qredits maandlasten'!$C$7,"",G181*I181*'Qredits maandlasten'!$C$8/12))</f>
        <v/>
      </c>
      <c r="L181" s="423" t="str">
        <f t="shared" si="12"/>
        <v/>
      </c>
      <c r="M181" s="423" t="str">
        <f t="shared" si="10"/>
        <v/>
      </c>
      <c r="N181" s="422"/>
      <c r="O181" s="424" t="str">
        <f>IF($B181="","",'Qredits maandlasten'!$C$8/12)</f>
        <v/>
      </c>
      <c r="P181" s="424" t="str">
        <f>IF($B181="","",'Qredits maandlasten'!$C$8/12*(POWER(1+'Qredits maandlasten'!$C$8/12,$B181-1+1)))</f>
        <v/>
      </c>
      <c r="Q181" s="424" t="str">
        <f t="shared" si="13"/>
        <v/>
      </c>
      <c r="R181" s="422"/>
      <c r="S181" s="423" t="str">
        <f t="shared" si="11"/>
        <v/>
      </c>
      <c r="T181" s="423" t="str">
        <f>IF(S181="","",J181/(POWER(1+'Qredits maandlasten'!$C$8/12,$B181-1+1)))</f>
        <v/>
      </c>
      <c r="U181" s="425" t="str">
        <f t="shared" si="14"/>
        <v/>
      </c>
      <c r="V181" s="423" t="str">
        <f>IF($B181="","",K181/(POWER(1+'Qredits maandlasten'!$C$8/12,$B181-1+1)))</f>
        <v/>
      </c>
      <c r="W181" s="422"/>
    </row>
    <row r="182" spans="1:23" s="427" customFormat="1" x14ac:dyDescent="0.2">
      <c r="A182" s="418"/>
      <c r="B182" s="419" t="str">
        <f>IF($B181="","",IF($B181+1&gt;'Qredits maandlasten'!$C$7,"",Schema!B181+1))</f>
        <v/>
      </c>
      <c r="C182" s="420" t="str">
        <f>IF($B181="","",IF($B181+1&gt;'Qredits maandlasten'!$C$7,"",EOMONTH(C181,0)+1))</f>
        <v/>
      </c>
      <c r="D182" s="418"/>
      <c r="E182" s="420" t="str">
        <f>IF($B181="","",IF($B181+1&gt;'Qredits maandlasten'!$C$7,"",F181+1))</f>
        <v/>
      </c>
      <c r="F182" s="420" t="str">
        <f>IF($B181="","",IF($B181+1&gt;'Qredits maandlasten'!$C$7,"",EOMONTH(C182,-1)))</f>
        <v/>
      </c>
      <c r="G182" s="421" t="str">
        <f>IF($B181="","",IF($B181+1&gt;'Qredits maandlasten'!$C$7,"",(_xlfn.DAYS(F182,E182)+1)/DAY(F182)))</f>
        <v/>
      </c>
      <c r="H182" s="422"/>
      <c r="I182" s="423" t="str">
        <f>IF($B181="","",IF($B181+1&gt;'Qredits maandlasten'!$C$7,"",I181-J181))</f>
        <v/>
      </c>
      <c r="J182" s="423" t="str">
        <f>IF($B181="","",IF($B181+1&gt;'Qredits maandlasten'!$C$7,"",IF(B181&lt;'Investering &amp; Financiering'!$E$52-1,0,IF('Qredits maandlasten'!$C$10="Lineair",'Qredits maandlasten'!$H$4,IF('Qredits maandlasten'!$C$10="Annuïteit",IFERROR('Qredits maandlasten'!$H$4-K182,0),0)))))</f>
        <v/>
      </c>
      <c r="K182" s="423" t="str">
        <f>IF($B181="","",IF($B181+1&gt;'Qredits maandlasten'!$C$7,"",G182*I182*'Qredits maandlasten'!$C$8/12))</f>
        <v/>
      </c>
      <c r="L182" s="423" t="str">
        <f t="shared" si="12"/>
        <v/>
      </c>
      <c r="M182" s="423" t="str">
        <f t="shared" si="10"/>
        <v/>
      </c>
      <c r="N182" s="422"/>
      <c r="O182" s="424" t="str">
        <f>IF($B182="","",'Qredits maandlasten'!$C$8/12)</f>
        <v/>
      </c>
      <c r="P182" s="424" t="str">
        <f>IF($B182="","",'Qredits maandlasten'!$C$8/12*(POWER(1+'Qredits maandlasten'!$C$8/12,$B182-1+1)))</f>
        <v/>
      </c>
      <c r="Q182" s="424" t="str">
        <f t="shared" si="13"/>
        <v/>
      </c>
      <c r="R182" s="422"/>
      <c r="S182" s="423" t="str">
        <f t="shared" si="11"/>
        <v/>
      </c>
      <c r="T182" s="423" t="str">
        <f>IF(S182="","",J182/(POWER(1+'Qredits maandlasten'!$C$8/12,$B182-1+1)))</f>
        <v/>
      </c>
      <c r="U182" s="425" t="str">
        <f t="shared" si="14"/>
        <v/>
      </c>
      <c r="V182" s="423" t="str">
        <f>IF($B182="","",K182/(POWER(1+'Qredits maandlasten'!$C$8/12,$B182-1+1)))</f>
        <v/>
      </c>
      <c r="W182" s="422"/>
    </row>
    <row r="183" spans="1:23" s="427" customFormat="1" x14ac:dyDescent="0.2">
      <c r="A183" s="418"/>
      <c r="B183" s="419" t="str">
        <f>IF($B182="","",IF($B182+1&gt;'Qredits maandlasten'!$C$7,"",Schema!B182+1))</f>
        <v/>
      </c>
      <c r="C183" s="420" t="str">
        <f>IF($B182="","",IF($B182+1&gt;'Qredits maandlasten'!$C$7,"",EOMONTH(C182,0)+1))</f>
        <v/>
      </c>
      <c r="D183" s="418"/>
      <c r="E183" s="420" t="str">
        <f>IF($B182="","",IF($B182+1&gt;'Qredits maandlasten'!$C$7,"",F182+1))</f>
        <v/>
      </c>
      <c r="F183" s="420" t="str">
        <f>IF($B182="","",IF($B182+1&gt;'Qredits maandlasten'!$C$7,"",EOMONTH(C183,-1)))</f>
        <v/>
      </c>
      <c r="G183" s="421" t="str">
        <f>IF($B182="","",IF($B182+1&gt;'Qredits maandlasten'!$C$7,"",(_xlfn.DAYS(F183,E183)+1)/DAY(F183)))</f>
        <v/>
      </c>
      <c r="H183" s="422"/>
      <c r="I183" s="423" t="str">
        <f>IF($B182="","",IF($B182+1&gt;'Qredits maandlasten'!$C$7,"",I182-J182))</f>
        <v/>
      </c>
      <c r="J183" s="423" t="str">
        <f>IF($B182="","",IF($B182+1&gt;'Qredits maandlasten'!$C$7,"",IF(B182&lt;'Investering &amp; Financiering'!$E$52-1,0,IF('Qredits maandlasten'!$C$10="Lineair",'Qredits maandlasten'!$H$4,IF('Qredits maandlasten'!$C$10="Annuïteit",IFERROR('Qredits maandlasten'!$H$4-K183,0),0)))))</f>
        <v/>
      </c>
      <c r="K183" s="423" t="str">
        <f>IF($B182="","",IF($B182+1&gt;'Qredits maandlasten'!$C$7,"",G183*I183*'Qredits maandlasten'!$C$8/12))</f>
        <v/>
      </c>
      <c r="L183" s="423" t="str">
        <f t="shared" si="12"/>
        <v/>
      </c>
      <c r="M183" s="423" t="str">
        <f t="shared" si="10"/>
        <v/>
      </c>
      <c r="N183" s="422"/>
      <c r="O183" s="424" t="str">
        <f>IF($B183="","",'Qredits maandlasten'!$C$8/12)</f>
        <v/>
      </c>
      <c r="P183" s="424" t="str">
        <f>IF($B183="","",'Qredits maandlasten'!$C$8/12*(POWER(1+'Qredits maandlasten'!$C$8/12,$B183-1+1)))</f>
        <v/>
      </c>
      <c r="Q183" s="424" t="str">
        <f t="shared" si="13"/>
        <v/>
      </c>
      <c r="R183" s="422"/>
      <c r="S183" s="423" t="str">
        <f t="shared" si="11"/>
        <v/>
      </c>
      <c r="T183" s="423" t="str">
        <f>IF(S183="","",J183/(POWER(1+'Qredits maandlasten'!$C$8/12,$B183-1+1)))</f>
        <v/>
      </c>
      <c r="U183" s="425" t="str">
        <f t="shared" si="14"/>
        <v/>
      </c>
      <c r="V183" s="423" t="str">
        <f>IF($B183="","",K183/(POWER(1+'Qredits maandlasten'!$C$8/12,$B183-1+1)))</f>
        <v/>
      </c>
      <c r="W183" s="422"/>
    </row>
    <row r="184" spans="1:23" s="427" customFormat="1" x14ac:dyDescent="0.2">
      <c r="A184" s="418"/>
      <c r="B184" s="419" t="str">
        <f>IF($B183="","",IF($B183+1&gt;'Qredits maandlasten'!$C$7,"",Schema!B183+1))</f>
        <v/>
      </c>
      <c r="C184" s="420" t="str">
        <f>IF($B183="","",IF($B183+1&gt;'Qredits maandlasten'!$C$7,"",EOMONTH(C183,0)+1))</f>
        <v/>
      </c>
      <c r="D184" s="418"/>
      <c r="E184" s="420" t="str">
        <f>IF($B183="","",IF($B183+1&gt;'Qredits maandlasten'!$C$7,"",F183+1))</f>
        <v/>
      </c>
      <c r="F184" s="420" t="str">
        <f>IF($B183="","",IF($B183+1&gt;'Qredits maandlasten'!$C$7,"",EOMONTH(C184,-1)))</f>
        <v/>
      </c>
      <c r="G184" s="421" t="str">
        <f>IF($B183="","",IF($B183+1&gt;'Qredits maandlasten'!$C$7,"",(_xlfn.DAYS(F184,E184)+1)/DAY(F184)))</f>
        <v/>
      </c>
      <c r="H184" s="422"/>
      <c r="I184" s="423" t="str">
        <f>IF($B183="","",IF($B183+1&gt;'Qredits maandlasten'!$C$7,"",I183-J183))</f>
        <v/>
      </c>
      <c r="J184" s="423" t="str">
        <f>IF($B183="","",IF($B183+1&gt;'Qredits maandlasten'!$C$7,"",IF(B183&lt;'Investering &amp; Financiering'!$E$52-1,0,IF('Qredits maandlasten'!$C$10="Lineair",'Qredits maandlasten'!$H$4,IF('Qredits maandlasten'!$C$10="Annuïteit",IFERROR('Qredits maandlasten'!$H$4-K184,0),0)))))</f>
        <v/>
      </c>
      <c r="K184" s="423" t="str">
        <f>IF($B183="","",IF($B183+1&gt;'Qredits maandlasten'!$C$7,"",G184*I184*'Qredits maandlasten'!$C$8/12))</f>
        <v/>
      </c>
      <c r="L184" s="423" t="str">
        <f t="shared" si="12"/>
        <v/>
      </c>
      <c r="M184" s="423" t="str">
        <f t="shared" si="10"/>
        <v/>
      </c>
      <c r="N184" s="422"/>
      <c r="O184" s="424" t="str">
        <f>IF($B184="","",'Qredits maandlasten'!$C$8/12)</f>
        <v/>
      </c>
      <c r="P184" s="424" t="str">
        <f>IF($B184="","",'Qredits maandlasten'!$C$8/12*(POWER(1+'Qredits maandlasten'!$C$8/12,$B184-1+1)))</f>
        <v/>
      </c>
      <c r="Q184" s="424" t="str">
        <f t="shared" si="13"/>
        <v/>
      </c>
      <c r="R184" s="422"/>
      <c r="S184" s="423" t="str">
        <f t="shared" si="11"/>
        <v/>
      </c>
      <c r="T184" s="423" t="str">
        <f>IF(S184="","",J184/(POWER(1+'Qredits maandlasten'!$C$8/12,$B184-1+1)))</f>
        <v/>
      </c>
      <c r="U184" s="425" t="str">
        <f t="shared" si="14"/>
        <v/>
      </c>
      <c r="V184" s="423" t="str">
        <f>IF($B184="","",K184/(POWER(1+'Qredits maandlasten'!$C$8/12,$B184-1+1)))</f>
        <v/>
      </c>
      <c r="W184" s="422"/>
    </row>
    <row r="185" spans="1:23" s="427" customFormat="1" x14ac:dyDescent="0.2">
      <c r="A185" s="418"/>
      <c r="B185" s="419" t="str">
        <f>IF($B184="","",IF($B184+1&gt;'Qredits maandlasten'!$C$7,"",Schema!B184+1))</f>
        <v/>
      </c>
      <c r="C185" s="420" t="str">
        <f>IF($B184="","",IF($B184+1&gt;'Qredits maandlasten'!$C$7,"",EOMONTH(C184,0)+1))</f>
        <v/>
      </c>
      <c r="D185" s="418"/>
      <c r="E185" s="420" t="str">
        <f>IF($B184="","",IF($B184+1&gt;'Qredits maandlasten'!$C$7,"",F184+1))</f>
        <v/>
      </c>
      <c r="F185" s="420" t="str">
        <f>IF($B184="","",IF($B184+1&gt;'Qredits maandlasten'!$C$7,"",EOMONTH(C185,-1)))</f>
        <v/>
      </c>
      <c r="G185" s="421" t="str">
        <f>IF($B184="","",IF($B184+1&gt;'Qredits maandlasten'!$C$7,"",(_xlfn.DAYS(F185,E185)+1)/DAY(F185)))</f>
        <v/>
      </c>
      <c r="H185" s="422"/>
      <c r="I185" s="423" t="str">
        <f>IF($B184="","",IF($B184+1&gt;'Qredits maandlasten'!$C$7,"",I184-J184))</f>
        <v/>
      </c>
      <c r="J185" s="423" t="str">
        <f>IF($B184="","",IF($B184+1&gt;'Qredits maandlasten'!$C$7,"",IF(B184&lt;'Investering &amp; Financiering'!$E$52-1,0,IF('Qredits maandlasten'!$C$10="Lineair",'Qredits maandlasten'!$H$4,IF('Qredits maandlasten'!$C$10="Annuïteit",IFERROR('Qredits maandlasten'!$H$4-K185,0),0)))))</f>
        <v/>
      </c>
      <c r="K185" s="423" t="str">
        <f>IF($B184="","",IF($B184+1&gt;'Qredits maandlasten'!$C$7,"",G185*I185*'Qredits maandlasten'!$C$8/12))</f>
        <v/>
      </c>
      <c r="L185" s="423" t="str">
        <f t="shared" si="12"/>
        <v/>
      </c>
      <c r="M185" s="423" t="str">
        <f t="shared" si="10"/>
        <v/>
      </c>
      <c r="N185" s="422"/>
      <c r="O185" s="424" t="str">
        <f>IF($B185="","",'Qredits maandlasten'!$C$8/12)</f>
        <v/>
      </c>
      <c r="P185" s="424" t="str">
        <f>IF($B185="","",'Qredits maandlasten'!$C$8/12*(POWER(1+'Qredits maandlasten'!$C$8/12,$B185-1+1)))</f>
        <v/>
      </c>
      <c r="Q185" s="424" t="str">
        <f t="shared" si="13"/>
        <v/>
      </c>
      <c r="R185" s="422"/>
      <c r="S185" s="423" t="str">
        <f t="shared" si="11"/>
        <v/>
      </c>
      <c r="T185" s="423" t="str">
        <f>IF(S185="","",J185/(POWER(1+'Qredits maandlasten'!$C$8/12,$B185-1+1)))</f>
        <v/>
      </c>
      <c r="U185" s="425" t="str">
        <f t="shared" si="14"/>
        <v/>
      </c>
      <c r="V185" s="423" t="str">
        <f>IF($B185="","",K185/(POWER(1+'Qredits maandlasten'!$C$8/12,$B185-1+1)))</f>
        <v/>
      </c>
      <c r="W185" s="422"/>
    </row>
    <row r="186" spans="1:23" s="427" customFormat="1" x14ac:dyDescent="0.2">
      <c r="A186" s="418"/>
      <c r="B186" s="419" t="str">
        <f>IF($B185="","",IF($B185+1&gt;'Qredits maandlasten'!$C$7,"",Schema!B185+1))</f>
        <v/>
      </c>
      <c r="C186" s="420" t="str">
        <f>IF($B185="","",IF($B185+1&gt;'Qredits maandlasten'!$C$7,"",EOMONTH(C185,0)+1))</f>
        <v/>
      </c>
      <c r="D186" s="418"/>
      <c r="E186" s="420" t="str">
        <f>IF($B185="","",IF($B185+1&gt;'Qredits maandlasten'!$C$7,"",F185+1))</f>
        <v/>
      </c>
      <c r="F186" s="420" t="str">
        <f>IF($B185="","",IF($B185+1&gt;'Qredits maandlasten'!$C$7,"",EOMONTH(C186,-1)))</f>
        <v/>
      </c>
      <c r="G186" s="421" t="str">
        <f>IF($B185="","",IF($B185+1&gt;'Qredits maandlasten'!$C$7,"",(_xlfn.DAYS(F186,E186)+1)/DAY(F186)))</f>
        <v/>
      </c>
      <c r="H186" s="422"/>
      <c r="I186" s="423" t="str">
        <f>IF($B185="","",IF($B185+1&gt;'Qredits maandlasten'!$C$7,"",I185-J185))</f>
        <v/>
      </c>
      <c r="J186" s="423" t="str">
        <f>IF($B185="","",IF($B185+1&gt;'Qredits maandlasten'!$C$7,"",IF(B185&lt;'Investering &amp; Financiering'!$E$52-1,0,IF('Qredits maandlasten'!$C$10="Lineair",'Qredits maandlasten'!$H$4,IF('Qredits maandlasten'!$C$10="Annuïteit",IFERROR('Qredits maandlasten'!$H$4-K186,0),0)))))</f>
        <v/>
      </c>
      <c r="K186" s="423" t="str">
        <f>IF($B185="","",IF($B185+1&gt;'Qredits maandlasten'!$C$7,"",G186*I186*'Qredits maandlasten'!$C$8/12))</f>
        <v/>
      </c>
      <c r="L186" s="423" t="str">
        <f t="shared" si="12"/>
        <v/>
      </c>
      <c r="M186" s="423" t="str">
        <f t="shared" si="10"/>
        <v/>
      </c>
      <c r="N186" s="422"/>
      <c r="O186" s="424" t="str">
        <f>IF($B186="","",'Qredits maandlasten'!$C$8/12)</f>
        <v/>
      </c>
      <c r="P186" s="424" t="str">
        <f>IF($B186="","",'Qredits maandlasten'!$C$8/12*(POWER(1+'Qredits maandlasten'!$C$8/12,$B186-1+1)))</f>
        <v/>
      </c>
      <c r="Q186" s="424" t="str">
        <f t="shared" si="13"/>
        <v/>
      </c>
      <c r="R186" s="422"/>
      <c r="S186" s="423" t="str">
        <f t="shared" si="11"/>
        <v/>
      </c>
      <c r="T186" s="423" t="str">
        <f>IF(S186="","",J186/(POWER(1+'Qredits maandlasten'!$C$8/12,$B186-1+1)))</f>
        <v/>
      </c>
      <c r="U186" s="425" t="str">
        <f t="shared" si="14"/>
        <v/>
      </c>
      <c r="V186" s="423" t="str">
        <f>IF($B186="","",K186/(POWER(1+'Qredits maandlasten'!$C$8/12,$B186-1+1)))</f>
        <v/>
      </c>
      <c r="W186" s="422"/>
    </row>
    <row r="187" spans="1:23" s="427" customFormat="1" x14ac:dyDescent="0.2">
      <c r="A187" s="418"/>
      <c r="B187" s="419" t="str">
        <f>IF($B186="","",IF($B186+1&gt;'Qredits maandlasten'!$C$7,"",Schema!B186+1))</f>
        <v/>
      </c>
      <c r="C187" s="420" t="str">
        <f>IF($B186="","",IF($B186+1&gt;'Qredits maandlasten'!$C$7,"",EOMONTH(C186,0)+1))</f>
        <v/>
      </c>
      <c r="D187" s="418"/>
      <c r="E187" s="420" t="str">
        <f>IF($B186="","",IF($B186+1&gt;'Qredits maandlasten'!$C$7,"",F186+1))</f>
        <v/>
      </c>
      <c r="F187" s="420" t="str">
        <f>IF($B186="","",IF($B186+1&gt;'Qredits maandlasten'!$C$7,"",EOMONTH(C187,-1)))</f>
        <v/>
      </c>
      <c r="G187" s="421" t="str">
        <f>IF($B186="","",IF($B186+1&gt;'Qredits maandlasten'!$C$7,"",(_xlfn.DAYS(F187,E187)+1)/DAY(F187)))</f>
        <v/>
      </c>
      <c r="H187" s="422"/>
      <c r="I187" s="423" t="str">
        <f>IF($B186="","",IF($B186+1&gt;'Qredits maandlasten'!$C$7,"",I186-J186))</f>
        <v/>
      </c>
      <c r="J187" s="423" t="str">
        <f>IF($B186="","",IF($B186+1&gt;'Qredits maandlasten'!$C$7,"",IF(B186&lt;'Investering &amp; Financiering'!$E$52-1,0,IF('Qredits maandlasten'!$C$10="Lineair",'Qredits maandlasten'!$H$4,IF('Qredits maandlasten'!$C$10="Annuïteit",IFERROR('Qredits maandlasten'!$H$4-K187,0),0)))))</f>
        <v/>
      </c>
      <c r="K187" s="423" t="str">
        <f>IF($B186="","",IF($B186+1&gt;'Qredits maandlasten'!$C$7,"",G187*I187*'Qredits maandlasten'!$C$8/12))</f>
        <v/>
      </c>
      <c r="L187" s="423" t="str">
        <f t="shared" si="12"/>
        <v/>
      </c>
      <c r="M187" s="423" t="str">
        <f t="shared" si="10"/>
        <v/>
      </c>
      <c r="N187" s="422"/>
      <c r="O187" s="424" t="str">
        <f>IF($B187="","",'Qredits maandlasten'!$C$8/12)</f>
        <v/>
      </c>
      <c r="P187" s="424" t="str">
        <f>IF($B187="","",'Qredits maandlasten'!$C$8/12*(POWER(1+'Qredits maandlasten'!$C$8/12,$B187-1+1)))</f>
        <v/>
      </c>
      <c r="Q187" s="424" t="str">
        <f t="shared" si="13"/>
        <v/>
      </c>
      <c r="R187" s="422"/>
      <c r="S187" s="423" t="str">
        <f t="shared" si="11"/>
        <v/>
      </c>
      <c r="T187" s="423" t="str">
        <f>IF(S187="","",J187/(POWER(1+'Qredits maandlasten'!$C$8/12,$B187-1+1)))</f>
        <v/>
      </c>
      <c r="U187" s="425" t="str">
        <f t="shared" si="14"/>
        <v/>
      </c>
      <c r="V187" s="423" t="str">
        <f>IF($B187="","",K187/(POWER(1+'Qredits maandlasten'!$C$8/12,$B187-1+1)))</f>
        <v/>
      </c>
      <c r="W187" s="422"/>
    </row>
    <row r="188" spans="1:23" s="427" customFormat="1" x14ac:dyDescent="0.2">
      <c r="A188" s="418"/>
      <c r="B188" s="419" t="str">
        <f>IF($B187="","",IF($B187+1&gt;'Qredits maandlasten'!$C$7,"",Schema!B187+1))</f>
        <v/>
      </c>
      <c r="C188" s="420" t="str">
        <f>IF($B187="","",IF($B187+1&gt;'Qredits maandlasten'!$C$7,"",EOMONTH(C187,0)+1))</f>
        <v/>
      </c>
      <c r="D188" s="418"/>
      <c r="E188" s="420" t="str">
        <f>IF($B187="","",IF($B187+1&gt;'Qredits maandlasten'!$C$7,"",F187+1))</f>
        <v/>
      </c>
      <c r="F188" s="420" t="str">
        <f>IF($B187="","",IF($B187+1&gt;'Qredits maandlasten'!$C$7,"",EOMONTH(C188,-1)))</f>
        <v/>
      </c>
      <c r="G188" s="421" t="str">
        <f>IF($B187="","",IF($B187+1&gt;'Qredits maandlasten'!$C$7,"",(_xlfn.DAYS(F188,E188)+1)/DAY(F188)))</f>
        <v/>
      </c>
      <c r="H188" s="422"/>
      <c r="I188" s="423" t="str">
        <f>IF($B187="","",IF($B187+1&gt;'Qredits maandlasten'!$C$7,"",I187-J187))</f>
        <v/>
      </c>
      <c r="J188" s="423" t="str">
        <f>IF($B187="","",IF($B187+1&gt;'Qredits maandlasten'!$C$7,"",IF(B187&lt;'Investering &amp; Financiering'!$E$52-1,0,IF('Qredits maandlasten'!$C$10="Lineair",'Qredits maandlasten'!$H$4,IF('Qredits maandlasten'!$C$10="Annuïteit",IFERROR('Qredits maandlasten'!$H$4-K188,0),0)))))</f>
        <v/>
      </c>
      <c r="K188" s="423" t="str">
        <f>IF($B187="","",IF($B187+1&gt;'Qredits maandlasten'!$C$7,"",G188*I188*'Qredits maandlasten'!$C$8/12))</f>
        <v/>
      </c>
      <c r="L188" s="423" t="str">
        <f t="shared" si="12"/>
        <v/>
      </c>
      <c r="M188" s="423" t="str">
        <f t="shared" si="10"/>
        <v/>
      </c>
      <c r="N188" s="422"/>
      <c r="O188" s="424" t="str">
        <f>IF($B188="","",'Qredits maandlasten'!$C$8/12)</f>
        <v/>
      </c>
      <c r="P188" s="424" t="str">
        <f>IF($B188="","",'Qredits maandlasten'!$C$8/12*(POWER(1+'Qredits maandlasten'!$C$8/12,$B188-1+1)))</f>
        <v/>
      </c>
      <c r="Q188" s="424" t="str">
        <f t="shared" si="13"/>
        <v/>
      </c>
      <c r="R188" s="422"/>
      <c r="S188" s="423" t="str">
        <f t="shared" si="11"/>
        <v/>
      </c>
      <c r="T188" s="423" t="str">
        <f>IF(S188="","",J188/(POWER(1+'Qredits maandlasten'!$C$8/12,$B188-1+1)))</f>
        <v/>
      </c>
      <c r="U188" s="425" t="str">
        <f t="shared" si="14"/>
        <v/>
      </c>
      <c r="V188" s="423" t="str">
        <f>IF($B188="","",K188/(POWER(1+'Qredits maandlasten'!$C$8/12,$B188-1+1)))</f>
        <v/>
      </c>
      <c r="W188" s="422"/>
    </row>
    <row r="189" spans="1:23" s="427" customFormat="1" x14ac:dyDescent="0.2">
      <c r="A189" s="418"/>
      <c r="B189" s="419" t="str">
        <f>IF($B188="","",IF($B188+1&gt;'Qredits maandlasten'!$C$7,"",Schema!B188+1))</f>
        <v/>
      </c>
      <c r="C189" s="420" t="str">
        <f>IF($B188="","",IF($B188+1&gt;'Qredits maandlasten'!$C$7,"",EOMONTH(C188,0)+1))</f>
        <v/>
      </c>
      <c r="D189" s="418"/>
      <c r="E189" s="420" t="str">
        <f>IF($B188="","",IF($B188+1&gt;'Qredits maandlasten'!$C$7,"",F188+1))</f>
        <v/>
      </c>
      <c r="F189" s="420" t="str">
        <f>IF($B188="","",IF($B188+1&gt;'Qredits maandlasten'!$C$7,"",EOMONTH(C189,-1)))</f>
        <v/>
      </c>
      <c r="G189" s="421" t="str">
        <f>IF($B188="","",IF($B188+1&gt;'Qredits maandlasten'!$C$7,"",(_xlfn.DAYS(F189,E189)+1)/DAY(F189)))</f>
        <v/>
      </c>
      <c r="H189" s="422"/>
      <c r="I189" s="423" t="str">
        <f>IF($B188="","",IF($B188+1&gt;'Qredits maandlasten'!$C$7,"",I188-J188))</f>
        <v/>
      </c>
      <c r="J189" s="423" t="str">
        <f>IF($B188="","",IF($B188+1&gt;'Qredits maandlasten'!$C$7,"",IF(B188&lt;'Investering &amp; Financiering'!$E$52-1,0,IF('Qredits maandlasten'!$C$10="Lineair",'Qredits maandlasten'!$H$4,IF('Qredits maandlasten'!$C$10="Annuïteit",IFERROR('Qredits maandlasten'!$H$4-K189,0),0)))))</f>
        <v/>
      </c>
      <c r="K189" s="423" t="str">
        <f>IF($B188="","",IF($B188+1&gt;'Qredits maandlasten'!$C$7,"",G189*I189*'Qredits maandlasten'!$C$8/12))</f>
        <v/>
      </c>
      <c r="L189" s="423" t="str">
        <f t="shared" si="12"/>
        <v/>
      </c>
      <c r="M189" s="423" t="str">
        <f t="shared" si="10"/>
        <v/>
      </c>
      <c r="N189" s="422"/>
      <c r="O189" s="424" t="str">
        <f>IF($B189="","",'Qredits maandlasten'!$C$8/12)</f>
        <v/>
      </c>
      <c r="P189" s="424" t="str">
        <f>IF($B189="","",'Qredits maandlasten'!$C$8/12*(POWER(1+'Qredits maandlasten'!$C$8/12,$B189-1+1)))</f>
        <v/>
      </c>
      <c r="Q189" s="424" t="str">
        <f t="shared" si="13"/>
        <v/>
      </c>
      <c r="R189" s="422"/>
      <c r="S189" s="423" t="str">
        <f t="shared" si="11"/>
        <v/>
      </c>
      <c r="T189" s="423" t="str">
        <f>IF(S189="","",J189/(POWER(1+'Qredits maandlasten'!$C$8/12,$B189-1+1)))</f>
        <v/>
      </c>
      <c r="U189" s="425" t="str">
        <f t="shared" si="14"/>
        <v/>
      </c>
      <c r="V189" s="423" t="str">
        <f>IF($B189="","",K189/(POWER(1+'Qredits maandlasten'!$C$8/12,$B189-1+1)))</f>
        <v/>
      </c>
      <c r="W189" s="422"/>
    </row>
    <row r="190" spans="1:23" s="427" customFormat="1" x14ac:dyDescent="0.2">
      <c r="A190" s="418"/>
      <c r="B190" s="419" t="str">
        <f>IF($B189="","",IF($B189+1&gt;'Qredits maandlasten'!$C$7,"",Schema!B189+1))</f>
        <v/>
      </c>
      <c r="C190" s="420" t="str">
        <f>IF($B189="","",IF($B189+1&gt;'Qredits maandlasten'!$C$7,"",EOMONTH(C189,0)+1))</f>
        <v/>
      </c>
      <c r="D190" s="418"/>
      <c r="E190" s="420" t="str">
        <f>IF($B189="","",IF($B189+1&gt;'Qredits maandlasten'!$C$7,"",F189+1))</f>
        <v/>
      </c>
      <c r="F190" s="420" t="str">
        <f>IF($B189="","",IF($B189+1&gt;'Qredits maandlasten'!$C$7,"",EOMONTH(C190,-1)))</f>
        <v/>
      </c>
      <c r="G190" s="421" t="str">
        <f>IF($B189="","",IF($B189+1&gt;'Qredits maandlasten'!$C$7,"",(_xlfn.DAYS(F190,E190)+1)/DAY(F190)))</f>
        <v/>
      </c>
      <c r="H190" s="422"/>
      <c r="I190" s="423" t="str">
        <f>IF($B189="","",IF($B189+1&gt;'Qredits maandlasten'!$C$7,"",I189-J189))</f>
        <v/>
      </c>
      <c r="J190" s="423" t="str">
        <f>IF($B189="","",IF($B189+1&gt;'Qredits maandlasten'!$C$7,"",IF(B189&lt;'Investering &amp; Financiering'!$E$52-1,0,IF('Qredits maandlasten'!$C$10="Lineair",'Qredits maandlasten'!$H$4,IF('Qredits maandlasten'!$C$10="Annuïteit",IFERROR('Qredits maandlasten'!$H$4-K190,0),0)))))</f>
        <v/>
      </c>
      <c r="K190" s="423" t="str">
        <f>IF($B189="","",IF($B189+1&gt;'Qredits maandlasten'!$C$7,"",G190*I190*'Qredits maandlasten'!$C$8/12))</f>
        <v/>
      </c>
      <c r="L190" s="423" t="str">
        <f t="shared" si="12"/>
        <v/>
      </c>
      <c r="M190" s="423" t="str">
        <f t="shared" si="10"/>
        <v/>
      </c>
      <c r="N190" s="422"/>
      <c r="O190" s="424" t="str">
        <f>IF($B190="","",'Qredits maandlasten'!$C$8/12)</f>
        <v/>
      </c>
      <c r="P190" s="424" t="str">
        <f>IF($B190="","",'Qredits maandlasten'!$C$8/12*(POWER(1+'Qredits maandlasten'!$C$8/12,$B190-1+1)))</f>
        <v/>
      </c>
      <c r="Q190" s="424" t="str">
        <f t="shared" si="13"/>
        <v/>
      </c>
      <c r="R190" s="422"/>
      <c r="S190" s="423" t="str">
        <f t="shared" si="11"/>
        <v/>
      </c>
      <c r="T190" s="423" t="str">
        <f>IF(S190="","",J190/(POWER(1+'Qredits maandlasten'!$C$8/12,$B190-1+1)))</f>
        <v/>
      </c>
      <c r="U190" s="425" t="str">
        <f t="shared" si="14"/>
        <v/>
      </c>
      <c r="V190" s="423" t="str">
        <f>IF($B190="","",K190/(POWER(1+'Qredits maandlasten'!$C$8/12,$B190-1+1)))</f>
        <v/>
      </c>
      <c r="W190" s="422"/>
    </row>
    <row r="191" spans="1:23" s="427" customFormat="1" x14ac:dyDescent="0.2">
      <c r="A191" s="418"/>
      <c r="B191" s="419" t="str">
        <f>IF($B190="","",IF($B190+1&gt;'Qredits maandlasten'!$C$7,"",Schema!B190+1))</f>
        <v/>
      </c>
      <c r="C191" s="420" t="str">
        <f>IF($B190="","",IF($B190+1&gt;'Qredits maandlasten'!$C$7,"",EOMONTH(C190,0)+1))</f>
        <v/>
      </c>
      <c r="D191" s="418"/>
      <c r="E191" s="420" t="str">
        <f>IF($B190="","",IF($B190+1&gt;'Qredits maandlasten'!$C$7,"",F190+1))</f>
        <v/>
      </c>
      <c r="F191" s="420" t="str">
        <f>IF($B190="","",IF($B190+1&gt;'Qredits maandlasten'!$C$7,"",EOMONTH(C191,-1)))</f>
        <v/>
      </c>
      <c r="G191" s="421" t="str">
        <f>IF($B190="","",IF($B190+1&gt;'Qredits maandlasten'!$C$7,"",(_xlfn.DAYS(F191,E191)+1)/DAY(F191)))</f>
        <v/>
      </c>
      <c r="H191" s="422"/>
      <c r="I191" s="423" t="str">
        <f>IF($B190="","",IF($B190+1&gt;'Qredits maandlasten'!$C$7,"",I190-J190))</f>
        <v/>
      </c>
      <c r="J191" s="423" t="str">
        <f>IF($B190="","",IF($B190+1&gt;'Qredits maandlasten'!$C$7,"",IF(B190&lt;'Investering &amp; Financiering'!$E$52-1,0,IF('Qredits maandlasten'!$C$10="Lineair",'Qredits maandlasten'!$H$4,IF('Qredits maandlasten'!$C$10="Annuïteit",IFERROR('Qredits maandlasten'!$H$4-K191,0),0)))))</f>
        <v/>
      </c>
      <c r="K191" s="423" t="str">
        <f>IF($B190="","",IF($B190+1&gt;'Qredits maandlasten'!$C$7,"",G191*I191*'Qredits maandlasten'!$C$8/12))</f>
        <v/>
      </c>
      <c r="L191" s="423" t="str">
        <f t="shared" si="12"/>
        <v/>
      </c>
      <c r="M191" s="423" t="str">
        <f t="shared" si="10"/>
        <v/>
      </c>
      <c r="N191" s="422"/>
      <c r="O191" s="424" t="str">
        <f>IF($B191="","",'Qredits maandlasten'!$C$8/12)</f>
        <v/>
      </c>
      <c r="P191" s="424" t="str">
        <f>IF($B191="","",'Qredits maandlasten'!$C$8/12*(POWER(1+'Qredits maandlasten'!$C$8/12,$B191-1+1)))</f>
        <v/>
      </c>
      <c r="Q191" s="424" t="str">
        <f t="shared" si="13"/>
        <v/>
      </c>
      <c r="R191" s="422"/>
      <c r="S191" s="423" t="str">
        <f t="shared" si="11"/>
        <v/>
      </c>
      <c r="T191" s="423" t="str">
        <f>IF(S191="","",J191/(POWER(1+'Qredits maandlasten'!$C$8/12,$B191-1+1)))</f>
        <v/>
      </c>
      <c r="U191" s="425" t="str">
        <f t="shared" si="14"/>
        <v/>
      </c>
      <c r="V191" s="423" t="str">
        <f>IF($B191="","",K191/(POWER(1+'Qredits maandlasten'!$C$8/12,$B191-1+1)))</f>
        <v/>
      </c>
      <c r="W191" s="422"/>
    </row>
    <row r="192" spans="1:23" s="427" customFormat="1" x14ac:dyDescent="0.2">
      <c r="A192" s="418"/>
      <c r="B192" s="419" t="str">
        <f>IF($B191="","",IF($B191+1&gt;'Qredits maandlasten'!$C$7,"",Schema!B191+1))</f>
        <v/>
      </c>
      <c r="C192" s="420" t="str">
        <f>IF($B191="","",IF($B191+1&gt;'Qredits maandlasten'!$C$7,"",EOMONTH(C191,0)+1))</f>
        <v/>
      </c>
      <c r="D192" s="418"/>
      <c r="E192" s="420" t="str">
        <f>IF($B191="","",IF($B191+1&gt;'Qredits maandlasten'!$C$7,"",F191+1))</f>
        <v/>
      </c>
      <c r="F192" s="420" t="str">
        <f>IF($B191="","",IF($B191+1&gt;'Qredits maandlasten'!$C$7,"",EOMONTH(C192,-1)))</f>
        <v/>
      </c>
      <c r="G192" s="421" t="str">
        <f>IF($B191="","",IF($B191+1&gt;'Qredits maandlasten'!$C$7,"",(_xlfn.DAYS(F192,E192)+1)/DAY(F192)))</f>
        <v/>
      </c>
      <c r="H192" s="422"/>
      <c r="I192" s="423" t="str">
        <f>IF($B191="","",IF($B191+1&gt;'Qredits maandlasten'!$C$7,"",I191-J191))</f>
        <v/>
      </c>
      <c r="J192" s="423" t="str">
        <f>IF($B191="","",IF($B191+1&gt;'Qredits maandlasten'!$C$7,"",IF(B191&lt;'Investering &amp; Financiering'!$E$52-1,0,IF('Qredits maandlasten'!$C$10="Lineair",'Qredits maandlasten'!$H$4,IF('Qredits maandlasten'!$C$10="Annuïteit",IFERROR('Qredits maandlasten'!$H$4-K192,0),0)))))</f>
        <v/>
      </c>
      <c r="K192" s="423" t="str">
        <f>IF($B191="","",IF($B191+1&gt;'Qredits maandlasten'!$C$7,"",G192*I192*'Qredits maandlasten'!$C$8/12))</f>
        <v/>
      </c>
      <c r="L192" s="423" t="str">
        <f t="shared" si="12"/>
        <v/>
      </c>
      <c r="M192" s="423" t="str">
        <f t="shared" si="10"/>
        <v/>
      </c>
      <c r="N192" s="422"/>
      <c r="O192" s="424" t="str">
        <f>IF($B192="","",'Qredits maandlasten'!$C$8/12)</f>
        <v/>
      </c>
      <c r="P192" s="424" t="str">
        <f>IF($B192="","",'Qredits maandlasten'!$C$8/12*(POWER(1+'Qredits maandlasten'!$C$8/12,$B192-1+1)))</f>
        <v/>
      </c>
      <c r="Q192" s="424" t="str">
        <f t="shared" si="13"/>
        <v/>
      </c>
      <c r="R192" s="422"/>
      <c r="S192" s="423" t="str">
        <f t="shared" si="11"/>
        <v/>
      </c>
      <c r="T192" s="423" t="str">
        <f>IF(S192="","",J192/(POWER(1+'Qredits maandlasten'!$C$8/12,$B192-1+1)))</f>
        <v/>
      </c>
      <c r="U192" s="425" t="str">
        <f t="shared" si="14"/>
        <v/>
      </c>
      <c r="V192" s="423" t="str">
        <f>IF($B192="","",K192/(POWER(1+'Qredits maandlasten'!$C$8/12,$B192-1+1)))</f>
        <v/>
      </c>
      <c r="W192" s="422"/>
    </row>
    <row r="193" spans="1:23" s="427" customFormat="1" x14ac:dyDescent="0.2">
      <c r="A193" s="418"/>
      <c r="B193" s="419" t="str">
        <f>IF($B192="","",IF($B192+1&gt;'Qredits maandlasten'!$C$7,"",Schema!B192+1))</f>
        <v/>
      </c>
      <c r="C193" s="420" t="str">
        <f>IF($B192="","",IF($B192+1&gt;'Qredits maandlasten'!$C$7,"",EOMONTH(C192,0)+1))</f>
        <v/>
      </c>
      <c r="D193" s="418"/>
      <c r="E193" s="420" t="str">
        <f>IF($B192="","",IF($B192+1&gt;'Qredits maandlasten'!$C$7,"",F192+1))</f>
        <v/>
      </c>
      <c r="F193" s="420" t="str">
        <f>IF($B192="","",IF($B192+1&gt;'Qredits maandlasten'!$C$7,"",EOMONTH(C193,-1)))</f>
        <v/>
      </c>
      <c r="G193" s="421" t="str">
        <f>IF($B192="","",IF($B192+1&gt;'Qredits maandlasten'!$C$7,"",(_xlfn.DAYS(F193,E193)+1)/DAY(F193)))</f>
        <v/>
      </c>
      <c r="H193" s="422"/>
      <c r="I193" s="423" t="str">
        <f>IF($B192="","",IF($B192+1&gt;'Qredits maandlasten'!$C$7,"",I192-J192))</f>
        <v/>
      </c>
      <c r="J193" s="423" t="str">
        <f>IF($B192="","",IF($B192+1&gt;'Qredits maandlasten'!$C$7,"",IF(B192&lt;'Investering &amp; Financiering'!$E$52-1,0,IF('Qredits maandlasten'!$C$10="Lineair",'Qredits maandlasten'!$H$4,IF('Qredits maandlasten'!$C$10="Annuïteit",IFERROR('Qredits maandlasten'!$H$4-K193,0),0)))))</f>
        <v/>
      </c>
      <c r="K193" s="423" t="str">
        <f>IF($B192="","",IF($B192+1&gt;'Qredits maandlasten'!$C$7,"",G193*I193*'Qredits maandlasten'!$C$8/12))</f>
        <v/>
      </c>
      <c r="L193" s="423" t="str">
        <f t="shared" si="12"/>
        <v/>
      </c>
      <c r="M193" s="423" t="str">
        <f t="shared" si="10"/>
        <v/>
      </c>
      <c r="N193" s="422"/>
      <c r="O193" s="424" t="str">
        <f>IF($B193="","",'Qredits maandlasten'!$C$8/12)</f>
        <v/>
      </c>
      <c r="P193" s="424" t="str">
        <f>IF($B193="","",'Qredits maandlasten'!$C$8/12*(POWER(1+'Qredits maandlasten'!$C$8/12,$B193-1+1)))</f>
        <v/>
      </c>
      <c r="Q193" s="424" t="str">
        <f t="shared" si="13"/>
        <v/>
      </c>
      <c r="R193" s="422"/>
      <c r="S193" s="423" t="str">
        <f t="shared" si="11"/>
        <v/>
      </c>
      <c r="T193" s="423" t="str">
        <f>IF(S193="","",J193/(POWER(1+'Qredits maandlasten'!$C$8/12,$B193-1+1)))</f>
        <v/>
      </c>
      <c r="U193" s="425" t="str">
        <f t="shared" si="14"/>
        <v/>
      </c>
      <c r="V193" s="423" t="str">
        <f>IF($B193="","",K193/(POWER(1+'Qredits maandlasten'!$C$8/12,$B193-1+1)))</f>
        <v/>
      </c>
      <c r="W193" s="422"/>
    </row>
    <row r="194" spans="1:23" s="427" customFormat="1" x14ac:dyDescent="0.2">
      <c r="A194" s="418"/>
      <c r="B194" s="419" t="str">
        <f>IF($B193="","",IF($B193+1&gt;'Qredits maandlasten'!$C$7,"",Schema!B193+1))</f>
        <v/>
      </c>
      <c r="C194" s="420" t="str">
        <f>IF($B193="","",IF($B193+1&gt;'Qredits maandlasten'!$C$7,"",EOMONTH(C193,0)+1))</f>
        <v/>
      </c>
      <c r="D194" s="418"/>
      <c r="E194" s="420" t="str">
        <f>IF($B193="","",IF($B193+1&gt;'Qredits maandlasten'!$C$7,"",F193+1))</f>
        <v/>
      </c>
      <c r="F194" s="420" t="str">
        <f>IF($B193="","",IF($B193+1&gt;'Qredits maandlasten'!$C$7,"",EOMONTH(C194,-1)))</f>
        <v/>
      </c>
      <c r="G194" s="421" t="str">
        <f>IF($B193="","",IF($B193+1&gt;'Qredits maandlasten'!$C$7,"",(_xlfn.DAYS(F194,E194)+1)/DAY(F194)))</f>
        <v/>
      </c>
      <c r="H194" s="422"/>
      <c r="I194" s="423" t="str">
        <f>IF($B193="","",IF($B193+1&gt;'Qredits maandlasten'!$C$7,"",I193-J193))</f>
        <v/>
      </c>
      <c r="J194" s="423" t="str">
        <f>IF($B193="","",IF($B193+1&gt;'Qredits maandlasten'!$C$7,"",IF(B193&lt;'Investering &amp; Financiering'!$E$52-1,0,IF('Qredits maandlasten'!$C$10="Lineair",'Qredits maandlasten'!$H$4,IF('Qredits maandlasten'!$C$10="Annuïteit",IFERROR('Qredits maandlasten'!$H$4-K194,0),0)))))</f>
        <v/>
      </c>
      <c r="K194" s="423" t="str">
        <f>IF($B193="","",IF($B193+1&gt;'Qredits maandlasten'!$C$7,"",G194*I194*'Qredits maandlasten'!$C$8/12))</f>
        <v/>
      </c>
      <c r="L194" s="423" t="str">
        <f t="shared" si="12"/>
        <v/>
      </c>
      <c r="M194" s="423" t="str">
        <f t="shared" si="10"/>
        <v/>
      </c>
      <c r="N194" s="422"/>
      <c r="O194" s="424" t="str">
        <f>IF($B194="","",'Qredits maandlasten'!$C$8/12)</f>
        <v/>
      </c>
      <c r="P194" s="424" t="str">
        <f>IF($B194="","",'Qredits maandlasten'!$C$8/12*(POWER(1+'Qredits maandlasten'!$C$8/12,$B194-1+1)))</f>
        <v/>
      </c>
      <c r="Q194" s="424" t="str">
        <f t="shared" si="13"/>
        <v/>
      </c>
      <c r="R194" s="422"/>
      <c r="S194" s="423" t="str">
        <f t="shared" si="11"/>
        <v/>
      </c>
      <c r="T194" s="423" t="str">
        <f>IF(S194="","",J194/(POWER(1+'Qredits maandlasten'!$C$8/12,$B194-1+1)))</f>
        <v/>
      </c>
      <c r="U194" s="425" t="str">
        <f t="shared" si="14"/>
        <v/>
      </c>
      <c r="V194" s="423" t="str">
        <f>IF($B194="","",K194/(POWER(1+'Qredits maandlasten'!$C$8/12,$B194-1+1)))</f>
        <v/>
      </c>
      <c r="W194" s="422"/>
    </row>
    <row r="195" spans="1:23" s="427" customFormat="1" x14ac:dyDescent="0.2">
      <c r="A195" s="418"/>
      <c r="B195" s="419" t="str">
        <f>IF($B194="","",IF($B194+1&gt;'Qredits maandlasten'!$C$7,"",Schema!B194+1))</f>
        <v/>
      </c>
      <c r="C195" s="420" t="str">
        <f>IF($B194="","",IF($B194+1&gt;'Qredits maandlasten'!$C$7,"",EOMONTH(C194,0)+1))</f>
        <v/>
      </c>
      <c r="D195" s="418"/>
      <c r="E195" s="420" t="str">
        <f>IF($B194="","",IF($B194+1&gt;'Qredits maandlasten'!$C$7,"",F194+1))</f>
        <v/>
      </c>
      <c r="F195" s="420" t="str">
        <f>IF($B194="","",IF($B194+1&gt;'Qredits maandlasten'!$C$7,"",EOMONTH(C195,-1)))</f>
        <v/>
      </c>
      <c r="G195" s="421" t="str">
        <f>IF($B194="","",IF($B194+1&gt;'Qredits maandlasten'!$C$7,"",(_xlfn.DAYS(F195,E195)+1)/DAY(F195)))</f>
        <v/>
      </c>
      <c r="H195" s="422"/>
      <c r="I195" s="423" t="str">
        <f>IF($B194="","",IF($B194+1&gt;'Qredits maandlasten'!$C$7,"",I194-J194))</f>
        <v/>
      </c>
      <c r="J195" s="423" t="str">
        <f>IF($B194="","",IF($B194+1&gt;'Qredits maandlasten'!$C$7,"",IF(B194&lt;'Investering &amp; Financiering'!$E$52-1,0,IF('Qredits maandlasten'!$C$10="Lineair",'Qredits maandlasten'!$H$4,IF('Qredits maandlasten'!$C$10="Annuïteit",IFERROR('Qredits maandlasten'!$H$4-K195,0),0)))))</f>
        <v/>
      </c>
      <c r="K195" s="423" t="str">
        <f>IF($B194="","",IF($B194+1&gt;'Qredits maandlasten'!$C$7,"",G195*I195*'Qredits maandlasten'!$C$8/12))</f>
        <v/>
      </c>
      <c r="L195" s="423" t="str">
        <f t="shared" si="12"/>
        <v/>
      </c>
      <c r="M195" s="423" t="str">
        <f t="shared" si="10"/>
        <v/>
      </c>
      <c r="N195" s="422"/>
      <c r="O195" s="424" t="str">
        <f>IF($B195="","",'Qredits maandlasten'!$C$8/12)</f>
        <v/>
      </c>
      <c r="P195" s="424" t="str">
        <f>IF($B195="","",'Qredits maandlasten'!$C$8/12*(POWER(1+'Qredits maandlasten'!$C$8/12,$B195-1+1)))</f>
        <v/>
      </c>
      <c r="Q195" s="424" t="str">
        <f t="shared" si="13"/>
        <v/>
      </c>
      <c r="R195" s="422"/>
      <c r="S195" s="423" t="str">
        <f t="shared" si="11"/>
        <v/>
      </c>
      <c r="T195" s="423" t="str">
        <f>IF(S195="","",J195/(POWER(1+'Qredits maandlasten'!$C$8/12,$B195-1+1)))</f>
        <v/>
      </c>
      <c r="U195" s="425" t="str">
        <f t="shared" si="14"/>
        <v/>
      </c>
      <c r="V195" s="423" t="str">
        <f>IF($B195="","",K195/(POWER(1+'Qredits maandlasten'!$C$8/12,$B195-1+1)))</f>
        <v/>
      </c>
      <c r="W195" s="422"/>
    </row>
    <row r="196" spans="1:23" s="427" customFormat="1" x14ac:dyDescent="0.2">
      <c r="A196" s="418"/>
      <c r="B196" s="419" t="str">
        <f>IF($B195="","",IF($B195+1&gt;'Qredits maandlasten'!$C$7,"",Schema!B195+1))</f>
        <v/>
      </c>
      <c r="C196" s="420" t="str">
        <f>IF($B195="","",IF($B195+1&gt;'Qredits maandlasten'!$C$7,"",EOMONTH(C195,0)+1))</f>
        <v/>
      </c>
      <c r="D196" s="418"/>
      <c r="E196" s="420" t="str">
        <f>IF($B195="","",IF($B195+1&gt;'Qredits maandlasten'!$C$7,"",F195+1))</f>
        <v/>
      </c>
      <c r="F196" s="420" t="str">
        <f>IF($B195="","",IF($B195+1&gt;'Qredits maandlasten'!$C$7,"",EOMONTH(C196,-1)))</f>
        <v/>
      </c>
      <c r="G196" s="421" t="str">
        <f>IF($B195="","",IF($B195+1&gt;'Qredits maandlasten'!$C$7,"",(_xlfn.DAYS(F196,E196)+1)/DAY(F196)))</f>
        <v/>
      </c>
      <c r="H196" s="422"/>
      <c r="I196" s="423" t="str">
        <f>IF($B195="","",IF($B195+1&gt;'Qredits maandlasten'!$C$7,"",I195-J195))</f>
        <v/>
      </c>
      <c r="J196" s="423" t="str">
        <f>IF($B195="","",IF($B195+1&gt;'Qredits maandlasten'!$C$7,"",IF(B195&lt;'Investering &amp; Financiering'!$E$52-1,0,IF('Qredits maandlasten'!$C$10="Lineair",'Qredits maandlasten'!$H$4,IF('Qredits maandlasten'!$C$10="Annuïteit",IFERROR('Qredits maandlasten'!$H$4-K196,0),0)))))</f>
        <v/>
      </c>
      <c r="K196" s="423" t="str">
        <f>IF($B195="","",IF($B195+1&gt;'Qredits maandlasten'!$C$7,"",G196*I196*'Qredits maandlasten'!$C$8/12))</f>
        <v/>
      </c>
      <c r="L196" s="423" t="str">
        <f t="shared" si="12"/>
        <v/>
      </c>
      <c r="M196" s="423" t="str">
        <f t="shared" si="10"/>
        <v/>
      </c>
      <c r="N196" s="422"/>
      <c r="O196" s="424" t="str">
        <f>IF($B196="","",'Qredits maandlasten'!$C$8/12)</f>
        <v/>
      </c>
      <c r="P196" s="424" t="str">
        <f>IF($B196="","",'Qredits maandlasten'!$C$8/12*(POWER(1+'Qredits maandlasten'!$C$8/12,$B196-1+1)))</f>
        <v/>
      </c>
      <c r="Q196" s="424" t="str">
        <f t="shared" si="13"/>
        <v/>
      </c>
      <c r="R196" s="422"/>
      <c r="S196" s="423" t="str">
        <f t="shared" si="11"/>
        <v/>
      </c>
      <c r="T196" s="423" t="str">
        <f>IF(S196="","",J196/(POWER(1+'Qredits maandlasten'!$C$8/12,$B196-1+1)))</f>
        <v/>
      </c>
      <c r="U196" s="425" t="str">
        <f t="shared" si="14"/>
        <v/>
      </c>
      <c r="V196" s="423" t="str">
        <f>IF($B196="","",K196/(POWER(1+'Qredits maandlasten'!$C$8/12,$B196-1+1)))</f>
        <v/>
      </c>
      <c r="W196" s="422"/>
    </row>
    <row r="197" spans="1:23" s="427" customFormat="1" x14ac:dyDescent="0.2">
      <c r="A197" s="418"/>
      <c r="B197" s="419" t="str">
        <f>IF($B196="","",IF($B196+1&gt;'Qredits maandlasten'!$C$7,"",Schema!B196+1))</f>
        <v/>
      </c>
      <c r="C197" s="420" t="str">
        <f>IF($B196="","",IF($B196+1&gt;'Qredits maandlasten'!$C$7,"",EOMONTH(C196,0)+1))</f>
        <v/>
      </c>
      <c r="D197" s="418"/>
      <c r="E197" s="420" t="str">
        <f>IF($B196="","",IF($B196+1&gt;'Qredits maandlasten'!$C$7,"",F196+1))</f>
        <v/>
      </c>
      <c r="F197" s="420" t="str">
        <f>IF($B196="","",IF($B196+1&gt;'Qredits maandlasten'!$C$7,"",EOMONTH(C197,-1)))</f>
        <v/>
      </c>
      <c r="G197" s="421" t="str">
        <f>IF($B196="","",IF($B196+1&gt;'Qredits maandlasten'!$C$7,"",(_xlfn.DAYS(F197,E197)+1)/DAY(F197)))</f>
        <v/>
      </c>
      <c r="H197" s="422"/>
      <c r="I197" s="423" t="str">
        <f>IF($B196="","",IF($B196+1&gt;'Qredits maandlasten'!$C$7,"",I196-J196))</f>
        <v/>
      </c>
      <c r="J197" s="423" t="str">
        <f>IF($B196="","",IF($B196+1&gt;'Qredits maandlasten'!$C$7,"",IF(B196&lt;'Investering &amp; Financiering'!$E$52-1,0,IF('Qredits maandlasten'!$C$10="Lineair",'Qredits maandlasten'!$H$4,IF('Qredits maandlasten'!$C$10="Annuïteit",IFERROR('Qredits maandlasten'!$H$4-K197,0),0)))))</f>
        <v/>
      </c>
      <c r="K197" s="423" t="str">
        <f>IF($B196="","",IF($B196+1&gt;'Qredits maandlasten'!$C$7,"",G197*I197*'Qredits maandlasten'!$C$8/12))</f>
        <v/>
      </c>
      <c r="L197" s="423" t="str">
        <f t="shared" si="12"/>
        <v/>
      </c>
      <c r="M197" s="423" t="str">
        <f t="shared" si="10"/>
        <v/>
      </c>
      <c r="N197" s="422"/>
      <c r="O197" s="424" t="str">
        <f>IF($B197="","",'Qredits maandlasten'!$C$8/12)</f>
        <v/>
      </c>
      <c r="P197" s="424" t="str">
        <f>IF($B197="","",'Qredits maandlasten'!$C$8/12*(POWER(1+'Qredits maandlasten'!$C$8/12,$B197-1+1)))</f>
        <v/>
      </c>
      <c r="Q197" s="424" t="str">
        <f t="shared" si="13"/>
        <v/>
      </c>
      <c r="R197" s="422"/>
      <c r="S197" s="423" t="str">
        <f t="shared" si="11"/>
        <v/>
      </c>
      <c r="T197" s="423" t="str">
        <f>IF(S197="","",J197/(POWER(1+'Qredits maandlasten'!$C$8/12,$B197-1+1)))</f>
        <v/>
      </c>
      <c r="U197" s="425" t="str">
        <f t="shared" si="14"/>
        <v/>
      </c>
      <c r="V197" s="423" t="str">
        <f>IF($B197="","",K197/(POWER(1+'Qredits maandlasten'!$C$8/12,$B197-1+1)))</f>
        <v/>
      </c>
      <c r="W197" s="422"/>
    </row>
    <row r="198" spans="1:23" s="427" customFormat="1" x14ac:dyDescent="0.2">
      <c r="A198" s="418"/>
      <c r="B198" s="419" t="str">
        <f>IF($B197="","",IF($B197+1&gt;'Qredits maandlasten'!$C$7,"",Schema!B197+1))</f>
        <v/>
      </c>
      <c r="C198" s="420" t="str">
        <f>IF($B197="","",IF($B197+1&gt;'Qredits maandlasten'!$C$7,"",EOMONTH(C197,0)+1))</f>
        <v/>
      </c>
      <c r="D198" s="418"/>
      <c r="E198" s="420" t="str">
        <f>IF($B197="","",IF($B197+1&gt;'Qredits maandlasten'!$C$7,"",F197+1))</f>
        <v/>
      </c>
      <c r="F198" s="420" t="str">
        <f>IF($B197="","",IF($B197+1&gt;'Qredits maandlasten'!$C$7,"",EOMONTH(C198,-1)))</f>
        <v/>
      </c>
      <c r="G198" s="421" t="str">
        <f>IF($B197="","",IF($B197+1&gt;'Qredits maandlasten'!$C$7,"",(_xlfn.DAYS(F198,E198)+1)/DAY(F198)))</f>
        <v/>
      </c>
      <c r="H198" s="422"/>
      <c r="I198" s="423" t="str">
        <f>IF($B197="","",IF($B197+1&gt;'Qredits maandlasten'!$C$7,"",I197-J197))</f>
        <v/>
      </c>
      <c r="J198" s="423" t="str">
        <f>IF($B197="","",IF($B197+1&gt;'Qredits maandlasten'!$C$7,"",IF(B197&lt;'Investering &amp; Financiering'!$E$52-1,0,IF('Qredits maandlasten'!$C$10="Lineair",'Qredits maandlasten'!$H$4,IF('Qredits maandlasten'!$C$10="Annuïteit",IFERROR('Qredits maandlasten'!$H$4-K198,0),0)))))</f>
        <v/>
      </c>
      <c r="K198" s="423" t="str">
        <f>IF($B197="","",IF($B197+1&gt;'Qredits maandlasten'!$C$7,"",G198*I198*'Qredits maandlasten'!$C$8/12))</f>
        <v/>
      </c>
      <c r="L198" s="423" t="str">
        <f t="shared" si="12"/>
        <v/>
      </c>
      <c r="M198" s="423" t="str">
        <f t="shared" si="10"/>
        <v/>
      </c>
      <c r="N198" s="422"/>
      <c r="O198" s="424" t="str">
        <f>IF($B198="","",'Qredits maandlasten'!$C$8/12)</f>
        <v/>
      </c>
      <c r="P198" s="424" t="str">
        <f>IF($B198="","",'Qredits maandlasten'!$C$8/12*(POWER(1+'Qredits maandlasten'!$C$8/12,$B198-1+1)))</f>
        <v/>
      </c>
      <c r="Q198" s="424" t="str">
        <f t="shared" si="13"/>
        <v/>
      </c>
      <c r="R198" s="422"/>
      <c r="S198" s="423" t="str">
        <f t="shared" si="11"/>
        <v/>
      </c>
      <c r="T198" s="423" t="str">
        <f>IF(S198="","",J198/(POWER(1+'Qredits maandlasten'!$C$8/12,$B198-1+1)))</f>
        <v/>
      </c>
      <c r="U198" s="425" t="str">
        <f t="shared" si="14"/>
        <v/>
      </c>
      <c r="V198" s="423" t="str">
        <f>IF($B198="","",K198/(POWER(1+'Qredits maandlasten'!$C$8/12,$B198-1+1)))</f>
        <v/>
      </c>
      <c r="W198" s="422"/>
    </row>
    <row r="199" spans="1:23" s="427" customFormat="1" x14ac:dyDescent="0.2">
      <c r="A199" s="418"/>
      <c r="B199" s="419" t="str">
        <f>IF($B198="","",IF($B198+1&gt;'Qredits maandlasten'!$C$7,"",Schema!B198+1))</f>
        <v/>
      </c>
      <c r="C199" s="420" t="str">
        <f>IF($B198="","",IF($B198+1&gt;'Qredits maandlasten'!$C$7,"",EOMONTH(C198,0)+1))</f>
        <v/>
      </c>
      <c r="D199" s="418"/>
      <c r="E199" s="420" t="str">
        <f>IF($B198="","",IF($B198+1&gt;'Qredits maandlasten'!$C$7,"",F198+1))</f>
        <v/>
      </c>
      <c r="F199" s="420" t="str">
        <f>IF($B198="","",IF($B198+1&gt;'Qredits maandlasten'!$C$7,"",EOMONTH(C199,-1)))</f>
        <v/>
      </c>
      <c r="G199" s="421" t="str">
        <f>IF($B198="","",IF($B198+1&gt;'Qredits maandlasten'!$C$7,"",(_xlfn.DAYS(F199,E199)+1)/DAY(F199)))</f>
        <v/>
      </c>
      <c r="H199" s="422"/>
      <c r="I199" s="423" t="str">
        <f>IF($B198="","",IF($B198+1&gt;'Qredits maandlasten'!$C$7,"",I198-J198))</f>
        <v/>
      </c>
      <c r="J199" s="423" t="str">
        <f>IF($B198="","",IF($B198+1&gt;'Qredits maandlasten'!$C$7,"",IF(B198&lt;'Investering &amp; Financiering'!$E$52-1,0,IF('Qredits maandlasten'!$C$10="Lineair",'Qredits maandlasten'!$H$4,IF('Qredits maandlasten'!$C$10="Annuïteit",IFERROR('Qredits maandlasten'!$H$4-K199,0),0)))))</f>
        <v/>
      </c>
      <c r="K199" s="423" t="str">
        <f>IF($B198="","",IF($B198+1&gt;'Qredits maandlasten'!$C$7,"",G199*I199*'Qredits maandlasten'!$C$8/12))</f>
        <v/>
      </c>
      <c r="L199" s="423" t="str">
        <f t="shared" si="12"/>
        <v/>
      </c>
      <c r="M199" s="423" t="str">
        <f t="shared" si="10"/>
        <v/>
      </c>
      <c r="N199" s="422"/>
      <c r="O199" s="424" t="str">
        <f>IF($B199="","",'Qredits maandlasten'!$C$8/12)</f>
        <v/>
      </c>
      <c r="P199" s="424" t="str">
        <f>IF($B199="","",'Qredits maandlasten'!$C$8/12*(POWER(1+'Qredits maandlasten'!$C$8/12,$B199-1+1)))</f>
        <v/>
      </c>
      <c r="Q199" s="424" t="str">
        <f t="shared" si="13"/>
        <v/>
      </c>
      <c r="R199" s="422"/>
      <c r="S199" s="423" t="str">
        <f t="shared" si="11"/>
        <v/>
      </c>
      <c r="T199" s="423" t="str">
        <f>IF(S199="","",J199/(POWER(1+'Qredits maandlasten'!$C$8/12,$B199-1+1)))</f>
        <v/>
      </c>
      <c r="U199" s="425" t="str">
        <f t="shared" si="14"/>
        <v/>
      </c>
      <c r="V199" s="423" t="str">
        <f>IF($B199="","",K199/(POWER(1+'Qredits maandlasten'!$C$8/12,$B199-1+1)))</f>
        <v/>
      </c>
      <c r="W199" s="422"/>
    </row>
    <row r="200" spans="1:23" s="427" customFormat="1" x14ac:dyDescent="0.2">
      <c r="A200" s="418"/>
      <c r="B200" s="419" t="str">
        <f>IF($B199="","",IF($B199+1&gt;'Qredits maandlasten'!$C$7,"",Schema!B199+1))</f>
        <v/>
      </c>
      <c r="C200" s="420" t="str">
        <f>IF($B199="","",IF($B199+1&gt;'Qredits maandlasten'!$C$7,"",EOMONTH(C199,0)+1))</f>
        <v/>
      </c>
      <c r="D200" s="418"/>
      <c r="E200" s="420" t="str">
        <f>IF($B199="","",IF($B199+1&gt;'Qredits maandlasten'!$C$7,"",F199+1))</f>
        <v/>
      </c>
      <c r="F200" s="420" t="str">
        <f>IF($B199="","",IF($B199+1&gt;'Qredits maandlasten'!$C$7,"",EOMONTH(C200,-1)))</f>
        <v/>
      </c>
      <c r="G200" s="421" t="str">
        <f>IF($B199="","",IF($B199+1&gt;'Qredits maandlasten'!$C$7,"",(_xlfn.DAYS(F200,E200)+1)/DAY(F200)))</f>
        <v/>
      </c>
      <c r="H200" s="422"/>
      <c r="I200" s="423" t="str">
        <f>IF($B199="","",IF($B199+1&gt;'Qredits maandlasten'!$C$7,"",I199-J199))</f>
        <v/>
      </c>
      <c r="J200" s="423" t="str">
        <f>IF($B199="","",IF($B199+1&gt;'Qredits maandlasten'!$C$7,"",IF(B199&lt;'Investering &amp; Financiering'!$E$52-1,0,IF('Qredits maandlasten'!$C$10="Lineair",'Qredits maandlasten'!$H$4,IF('Qredits maandlasten'!$C$10="Annuïteit",IFERROR('Qredits maandlasten'!$H$4-K200,0),0)))))</f>
        <v/>
      </c>
      <c r="K200" s="423" t="str">
        <f>IF($B199="","",IF($B199+1&gt;'Qredits maandlasten'!$C$7,"",G200*I200*'Qredits maandlasten'!$C$8/12))</f>
        <v/>
      </c>
      <c r="L200" s="423" t="str">
        <f t="shared" si="12"/>
        <v/>
      </c>
      <c r="M200" s="423" t="str">
        <f t="shared" si="10"/>
        <v/>
      </c>
      <c r="N200" s="422"/>
      <c r="O200" s="424" t="str">
        <f>IF($B200="","",'Qredits maandlasten'!$C$8/12)</f>
        <v/>
      </c>
      <c r="P200" s="424" t="str">
        <f>IF($B200="","",'Qredits maandlasten'!$C$8/12*(POWER(1+'Qredits maandlasten'!$C$8/12,$B200-1+1)))</f>
        <v/>
      </c>
      <c r="Q200" s="424" t="str">
        <f t="shared" si="13"/>
        <v/>
      </c>
      <c r="R200" s="422"/>
      <c r="S200" s="423" t="str">
        <f t="shared" si="11"/>
        <v/>
      </c>
      <c r="T200" s="423" t="str">
        <f>IF(S200="","",J200/(POWER(1+'Qredits maandlasten'!$C$8/12,$B200-1+1)))</f>
        <v/>
      </c>
      <c r="U200" s="425" t="str">
        <f t="shared" si="14"/>
        <v/>
      </c>
      <c r="V200" s="423" t="str">
        <f>IF($B200="","",K200/(POWER(1+'Qredits maandlasten'!$C$8/12,$B200-1+1)))</f>
        <v/>
      </c>
      <c r="W200" s="422"/>
    </row>
    <row r="201" spans="1:23" s="427" customFormat="1" x14ac:dyDescent="0.2">
      <c r="A201" s="418"/>
      <c r="B201" s="419" t="str">
        <f>IF($B200="","",IF($B200+1&gt;'Qredits maandlasten'!$C$7,"",Schema!B200+1))</f>
        <v/>
      </c>
      <c r="C201" s="420" t="str">
        <f>IF($B200="","",IF($B200+1&gt;'Qredits maandlasten'!$C$7,"",EOMONTH(C200,0)+1))</f>
        <v/>
      </c>
      <c r="D201" s="418"/>
      <c r="E201" s="420" t="str">
        <f>IF($B200="","",IF($B200+1&gt;'Qredits maandlasten'!$C$7,"",F200+1))</f>
        <v/>
      </c>
      <c r="F201" s="420" t="str">
        <f>IF($B200="","",IF($B200+1&gt;'Qredits maandlasten'!$C$7,"",EOMONTH(C201,-1)))</f>
        <v/>
      </c>
      <c r="G201" s="421" t="str">
        <f>IF($B200="","",IF($B200+1&gt;'Qredits maandlasten'!$C$7,"",(_xlfn.DAYS(F201,E201)+1)/DAY(F201)))</f>
        <v/>
      </c>
      <c r="H201" s="422"/>
      <c r="I201" s="423" t="str">
        <f>IF($B200="","",IF($B200+1&gt;'Qredits maandlasten'!$C$7,"",I200-J200))</f>
        <v/>
      </c>
      <c r="J201" s="423" t="str">
        <f>IF($B200="","",IF($B200+1&gt;'Qredits maandlasten'!$C$7,"",IF(B200&lt;'Investering &amp; Financiering'!$E$52-1,0,IF('Qredits maandlasten'!$C$10="Lineair",'Qredits maandlasten'!$H$4,IF('Qredits maandlasten'!$C$10="Annuïteit",IFERROR('Qredits maandlasten'!$H$4-K201,0),0)))))</f>
        <v/>
      </c>
      <c r="K201" s="423" t="str">
        <f>IF($B200="","",IF($B200+1&gt;'Qredits maandlasten'!$C$7,"",G201*I201*'Qredits maandlasten'!$C$8/12))</f>
        <v/>
      </c>
      <c r="L201" s="423" t="str">
        <f t="shared" si="12"/>
        <v/>
      </c>
      <c r="M201" s="423" t="str">
        <f t="shared" si="10"/>
        <v/>
      </c>
      <c r="N201" s="422"/>
      <c r="O201" s="424" t="str">
        <f>IF($B201="","",'Qredits maandlasten'!$C$8/12)</f>
        <v/>
      </c>
      <c r="P201" s="424" t="str">
        <f>IF($B201="","",'Qredits maandlasten'!$C$8/12*(POWER(1+'Qredits maandlasten'!$C$8/12,$B201-1+1)))</f>
        <v/>
      </c>
      <c r="Q201" s="424" t="str">
        <f t="shared" si="13"/>
        <v/>
      </c>
      <c r="R201" s="422"/>
      <c r="S201" s="423" t="str">
        <f t="shared" si="11"/>
        <v/>
      </c>
      <c r="T201" s="423" t="str">
        <f>IF(S201="","",J201/(POWER(1+'Qredits maandlasten'!$C$8/12,$B201-1+1)))</f>
        <v/>
      </c>
      <c r="U201" s="425" t="str">
        <f t="shared" si="14"/>
        <v/>
      </c>
      <c r="V201" s="423" t="str">
        <f>IF($B201="","",K201/(POWER(1+'Qredits maandlasten'!$C$8/12,$B201-1+1)))</f>
        <v/>
      </c>
      <c r="W201" s="422"/>
    </row>
    <row r="202" spans="1:23" s="427" customFormat="1" x14ac:dyDescent="0.2">
      <c r="A202" s="418"/>
      <c r="B202" s="419" t="str">
        <f>IF($B201="","",IF($B201+1&gt;'Qredits maandlasten'!$C$7,"",Schema!B201+1))</f>
        <v/>
      </c>
      <c r="C202" s="420" t="str">
        <f>IF($B201="","",IF($B201+1&gt;'Qredits maandlasten'!$C$7,"",EOMONTH(C201,0)+1))</f>
        <v/>
      </c>
      <c r="D202" s="418"/>
      <c r="E202" s="420" t="str">
        <f>IF($B201="","",IF($B201+1&gt;'Qredits maandlasten'!$C$7,"",F201+1))</f>
        <v/>
      </c>
      <c r="F202" s="420" t="str">
        <f>IF($B201="","",IF($B201+1&gt;'Qredits maandlasten'!$C$7,"",EOMONTH(C202,-1)))</f>
        <v/>
      </c>
      <c r="G202" s="421" t="str">
        <f>IF($B201="","",IF($B201+1&gt;'Qredits maandlasten'!$C$7,"",(_xlfn.DAYS(F202,E202)+1)/DAY(F202)))</f>
        <v/>
      </c>
      <c r="H202" s="422"/>
      <c r="I202" s="423" t="str">
        <f>IF($B201="","",IF($B201+1&gt;'Qredits maandlasten'!$C$7,"",I201-J201))</f>
        <v/>
      </c>
      <c r="J202" s="423" t="str">
        <f>IF($B201="","",IF($B201+1&gt;'Qredits maandlasten'!$C$7,"",IF(B201&lt;'Investering &amp; Financiering'!$E$52-1,0,IF('Qredits maandlasten'!$C$10="Lineair",'Qredits maandlasten'!$H$4,IF('Qredits maandlasten'!$C$10="Annuïteit",IFERROR('Qredits maandlasten'!$H$4-K202,0),0)))))</f>
        <v/>
      </c>
      <c r="K202" s="423" t="str">
        <f>IF($B201="","",IF($B201+1&gt;'Qredits maandlasten'!$C$7,"",G202*I202*'Qredits maandlasten'!$C$8/12))</f>
        <v/>
      </c>
      <c r="L202" s="423" t="str">
        <f t="shared" si="12"/>
        <v/>
      </c>
      <c r="M202" s="423" t="str">
        <f t="shared" ref="M202:M265" si="15">IF(S202="","",-K202-J202)</f>
        <v/>
      </c>
      <c r="N202" s="422"/>
      <c r="O202" s="424" t="str">
        <f>IF($B202="","",'Qredits maandlasten'!$C$8/12)</f>
        <v/>
      </c>
      <c r="P202" s="424" t="str">
        <f>IF($B202="","",'Qredits maandlasten'!$C$8/12*(POWER(1+'Qredits maandlasten'!$C$8/12,$B202-1+1)))</f>
        <v/>
      </c>
      <c r="Q202" s="424" t="str">
        <f t="shared" si="13"/>
        <v/>
      </c>
      <c r="R202" s="422"/>
      <c r="S202" s="423" t="str">
        <f t="shared" ref="S202:S265" si="16">IF(B202="","",IF(S201-T201&lt;0,"",S201-T201))</f>
        <v/>
      </c>
      <c r="T202" s="423" t="str">
        <f>IF(S202="","",J202/(POWER(1+'Qredits maandlasten'!$C$8/12,$B202-1+1)))</f>
        <v/>
      </c>
      <c r="U202" s="425" t="str">
        <f t="shared" si="14"/>
        <v/>
      </c>
      <c r="V202" s="423" t="str">
        <f>IF($B202="","",K202/(POWER(1+'Qredits maandlasten'!$C$8/12,$B202-1+1)))</f>
        <v/>
      </c>
      <c r="W202" s="422"/>
    </row>
    <row r="203" spans="1:23" s="427" customFormat="1" x14ac:dyDescent="0.2">
      <c r="A203" s="418"/>
      <c r="B203" s="419" t="str">
        <f>IF($B202="","",IF($B202+1&gt;'Qredits maandlasten'!$C$7,"",Schema!B202+1))</f>
        <v/>
      </c>
      <c r="C203" s="420" t="str">
        <f>IF($B202="","",IF($B202+1&gt;'Qredits maandlasten'!$C$7,"",EOMONTH(C202,0)+1))</f>
        <v/>
      </c>
      <c r="D203" s="418"/>
      <c r="E203" s="420" t="str">
        <f>IF($B202="","",IF($B202+1&gt;'Qredits maandlasten'!$C$7,"",F202+1))</f>
        <v/>
      </c>
      <c r="F203" s="420" t="str">
        <f>IF($B202="","",IF($B202+1&gt;'Qredits maandlasten'!$C$7,"",EOMONTH(C203,-1)))</f>
        <v/>
      </c>
      <c r="G203" s="421" t="str">
        <f>IF($B202="","",IF($B202+1&gt;'Qredits maandlasten'!$C$7,"",(_xlfn.DAYS(F203,E203)+1)/DAY(F203)))</f>
        <v/>
      </c>
      <c r="H203" s="422"/>
      <c r="I203" s="423" t="str">
        <f>IF($B202="","",IF($B202+1&gt;'Qredits maandlasten'!$C$7,"",I202-J202))</f>
        <v/>
      </c>
      <c r="J203" s="423" t="str">
        <f>IF($B202="","",IF($B202+1&gt;'Qredits maandlasten'!$C$7,"",IF(B202&lt;'Investering &amp; Financiering'!$E$52-1,0,IF('Qredits maandlasten'!$C$10="Lineair",'Qredits maandlasten'!$H$4,IF('Qredits maandlasten'!$C$10="Annuïteit",IFERROR('Qredits maandlasten'!$H$4-K203,0),0)))))</f>
        <v/>
      </c>
      <c r="K203" s="423" t="str">
        <f>IF($B202="","",IF($B202+1&gt;'Qredits maandlasten'!$C$7,"",G203*I203*'Qredits maandlasten'!$C$8/12))</f>
        <v/>
      </c>
      <c r="L203" s="423" t="str">
        <f t="shared" ref="L203:L266" si="17">IF(S203="","",-K203-J203)</f>
        <v/>
      </c>
      <c r="M203" s="423" t="str">
        <f t="shared" si="15"/>
        <v/>
      </c>
      <c r="N203" s="422"/>
      <c r="O203" s="424" t="str">
        <f>IF($B203="","",'Qredits maandlasten'!$C$8/12)</f>
        <v/>
      </c>
      <c r="P203" s="424" t="str">
        <f>IF($B203="","",'Qredits maandlasten'!$C$8/12*(POWER(1+'Qredits maandlasten'!$C$8/12,$B203-1+1)))</f>
        <v/>
      </c>
      <c r="Q203" s="424" t="str">
        <f t="shared" ref="Q203:Q266" si="18">IF($B203="","",IFERROR(J203/T203-1,0))</f>
        <v/>
      </c>
      <c r="R203" s="422"/>
      <c r="S203" s="423" t="str">
        <f t="shared" si="16"/>
        <v/>
      </c>
      <c r="T203" s="423" t="str">
        <f>IF(S203="","",J203/(POWER(1+'Qredits maandlasten'!$C$8/12,$B203-1+1)))</f>
        <v/>
      </c>
      <c r="U203" s="425" t="str">
        <f t="shared" ref="U203:U266" si="19">IF(S203="","",T203+V203)</f>
        <v/>
      </c>
      <c r="V203" s="423" t="str">
        <f>IF($B203="","",K203/(POWER(1+'Qredits maandlasten'!$C$8/12,$B203-1+1)))</f>
        <v/>
      </c>
      <c r="W203" s="422"/>
    </row>
    <row r="204" spans="1:23" s="427" customFormat="1" x14ac:dyDescent="0.2">
      <c r="A204" s="418"/>
      <c r="B204" s="419" t="str">
        <f>IF($B203="","",IF($B203+1&gt;'Qredits maandlasten'!$C$7,"",Schema!B203+1))</f>
        <v/>
      </c>
      <c r="C204" s="420" t="str">
        <f>IF($B203="","",IF($B203+1&gt;'Qredits maandlasten'!$C$7,"",EOMONTH(C203,0)+1))</f>
        <v/>
      </c>
      <c r="D204" s="418"/>
      <c r="E204" s="420" t="str">
        <f>IF($B203="","",IF($B203+1&gt;'Qredits maandlasten'!$C$7,"",F203+1))</f>
        <v/>
      </c>
      <c r="F204" s="420" t="str">
        <f>IF($B203="","",IF($B203+1&gt;'Qredits maandlasten'!$C$7,"",EOMONTH(C204,-1)))</f>
        <v/>
      </c>
      <c r="G204" s="421" t="str">
        <f>IF($B203="","",IF($B203+1&gt;'Qredits maandlasten'!$C$7,"",(_xlfn.DAYS(F204,E204)+1)/DAY(F204)))</f>
        <v/>
      </c>
      <c r="H204" s="422"/>
      <c r="I204" s="423" t="str">
        <f>IF($B203="","",IF($B203+1&gt;'Qredits maandlasten'!$C$7,"",I203-J203))</f>
        <v/>
      </c>
      <c r="J204" s="423" t="str">
        <f>IF($B203="","",IF($B203+1&gt;'Qredits maandlasten'!$C$7,"",IF(B203&lt;'Investering &amp; Financiering'!$E$52-1,0,IF('Qredits maandlasten'!$C$10="Lineair",'Qredits maandlasten'!$H$4,IF('Qredits maandlasten'!$C$10="Annuïteit",IFERROR('Qredits maandlasten'!$H$4-K204,0),0)))))</f>
        <v/>
      </c>
      <c r="K204" s="423" t="str">
        <f>IF($B203="","",IF($B203+1&gt;'Qredits maandlasten'!$C$7,"",G204*I204*'Qredits maandlasten'!$C$8/12))</f>
        <v/>
      </c>
      <c r="L204" s="423" t="str">
        <f t="shared" si="17"/>
        <v/>
      </c>
      <c r="M204" s="423" t="str">
        <f t="shared" si="15"/>
        <v/>
      </c>
      <c r="N204" s="422"/>
      <c r="O204" s="424" t="str">
        <f>IF($B204="","",'Qredits maandlasten'!$C$8/12)</f>
        <v/>
      </c>
      <c r="P204" s="424" t="str">
        <f>IF($B204="","",'Qredits maandlasten'!$C$8/12*(POWER(1+'Qredits maandlasten'!$C$8/12,$B204-1+1)))</f>
        <v/>
      </c>
      <c r="Q204" s="424" t="str">
        <f t="shared" si="18"/>
        <v/>
      </c>
      <c r="R204" s="422"/>
      <c r="S204" s="423" t="str">
        <f t="shared" si="16"/>
        <v/>
      </c>
      <c r="T204" s="423" t="str">
        <f>IF(S204="","",J204/(POWER(1+'Qredits maandlasten'!$C$8/12,$B204-1+1)))</f>
        <v/>
      </c>
      <c r="U204" s="425" t="str">
        <f t="shared" si="19"/>
        <v/>
      </c>
      <c r="V204" s="423" t="str">
        <f>IF($B204="","",K204/(POWER(1+'Qredits maandlasten'!$C$8/12,$B204-1+1)))</f>
        <v/>
      </c>
      <c r="W204" s="422"/>
    </row>
    <row r="205" spans="1:23" s="427" customFormat="1" x14ac:dyDescent="0.2">
      <c r="A205" s="418"/>
      <c r="B205" s="419" t="str">
        <f>IF($B204="","",IF($B204+1&gt;'Qredits maandlasten'!$C$7,"",Schema!B204+1))</f>
        <v/>
      </c>
      <c r="C205" s="420" t="str">
        <f>IF($B204="","",IF($B204+1&gt;'Qredits maandlasten'!$C$7,"",EOMONTH(C204,0)+1))</f>
        <v/>
      </c>
      <c r="D205" s="418"/>
      <c r="E205" s="420" t="str">
        <f>IF($B204="","",IF($B204+1&gt;'Qredits maandlasten'!$C$7,"",F204+1))</f>
        <v/>
      </c>
      <c r="F205" s="420" t="str">
        <f>IF($B204="","",IF($B204+1&gt;'Qredits maandlasten'!$C$7,"",EOMONTH(C205,-1)))</f>
        <v/>
      </c>
      <c r="G205" s="421" t="str">
        <f>IF($B204="","",IF($B204+1&gt;'Qredits maandlasten'!$C$7,"",(_xlfn.DAYS(F205,E205)+1)/DAY(F205)))</f>
        <v/>
      </c>
      <c r="H205" s="422"/>
      <c r="I205" s="423" t="str">
        <f>IF($B204="","",IF($B204+1&gt;'Qredits maandlasten'!$C$7,"",I204-J204))</f>
        <v/>
      </c>
      <c r="J205" s="423" t="str">
        <f>IF($B204="","",IF($B204+1&gt;'Qredits maandlasten'!$C$7,"",IF(B204&lt;'Investering &amp; Financiering'!$E$52-1,0,IF('Qredits maandlasten'!$C$10="Lineair",'Qredits maandlasten'!$H$4,IF('Qredits maandlasten'!$C$10="Annuïteit",IFERROR('Qredits maandlasten'!$H$4-K205,0),0)))))</f>
        <v/>
      </c>
      <c r="K205" s="423" t="str">
        <f>IF($B204="","",IF($B204+1&gt;'Qredits maandlasten'!$C$7,"",G205*I205*'Qredits maandlasten'!$C$8/12))</f>
        <v/>
      </c>
      <c r="L205" s="423" t="str">
        <f t="shared" si="17"/>
        <v/>
      </c>
      <c r="M205" s="423" t="str">
        <f t="shared" si="15"/>
        <v/>
      </c>
      <c r="N205" s="422"/>
      <c r="O205" s="424" t="str">
        <f>IF($B205="","",'Qredits maandlasten'!$C$8/12)</f>
        <v/>
      </c>
      <c r="P205" s="424" t="str">
        <f>IF($B205="","",'Qredits maandlasten'!$C$8/12*(POWER(1+'Qredits maandlasten'!$C$8/12,$B205-1+1)))</f>
        <v/>
      </c>
      <c r="Q205" s="424" t="str">
        <f t="shared" si="18"/>
        <v/>
      </c>
      <c r="R205" s="422"/>
      <c r="S205" s="423" t="str">
        <f t="shared" si="16"/>
        <v/>
      </c>
      <c r="T205" s="423" t="str">
        <f>IF(S205="","",J205/(POWER(1+'Qredits maandlasten'!$C$8/12,$B205-1+1)))</f>
        <v/>
      </c>
      <c r="U205" s="425" t="str">
        <f t="shared" si="19"/>
        <v/>
      </c>
      <c r="V205" s="423" t="str">
        <f>IF($B205="","",K205/(POWER(1+'Qredits maandlasten'!$C$8/12,$B205-1+1)))</f>
        <v/>
      </c>
      <c r="W205" s="422"/>
    </row>
    <row r="206" spans="1:23" s="427" customFormat="1" x14ac:dyDescent="0.2">
      <c r="A206" s="418"/>
      <c r="B206" s="419" t="str">
        <f>IF($B205="","",IF($B205+1&gt;'Qredits maandlasten'!$C$7,"",Schema!B205+1))</f>
        <v/>
      </c>
      <c r="C206" s="420" t="str">
        <f>IF($B205="","",IF($B205+1&gt;'Qredits maandlasten'!$C$7,"",EOMONTH(C205,0)+1))</f>
        <v/>
      </c>
      <c r="D206" s="418"/>
      <c r="E206" s="420" t="str">
        <f>IF($B205="","",IF($B205+1&gt;'Qredits maandlasten'!$C$7,"",F205+1))</f>
        <v/>
      </c>
      <c r="F206" s="420" t="str">
        <f>IF($B205="","",IF($B205+1&gt;'Qredits maandlasten'!$C$7,"",EOMONTH(C206,-1)))</f>
        <v/>
      </c>
      <c r="G206" s="421" t="str">
        <f>IF($B205="","",IF($B205+1&gt;'Qredits maandlasten'!$C$7,"",(_xlfn.DAYS(F206,E206)+1)/DAY(F206)))</f>
        <v/>
      </c>
      <c r="H206" s="422"/>
      <c r="I206" s="423" t="str">
        <f>IF($B205="","",IF($B205+1&gt;'Qredits maandlasten'!$C$7,"",I205-J205))</f>
        <v/>
      </c>
      <c r="J206" s="423" t="str">
        <f>IF($B205="","",IF($B205+1&gt;'Qredits maandlasten'!$C$7,"",IF(B205&lt;'Investering &amp; Financiering'!$E$52-1,0,IF('Qredits maandlasten'!$C$10="Lineair",'Qredits maandlasten'!$H$4,IF('Qredits maandlasten'!$C$10="Annuïteit",IFERROR('Qredits maandlasten'!$H$4-K206,0),0)))))</f>
        <v/>
      </c>
      <c r="K206" s="423" t="str">
        <f>IF($B205="","",IF($B205+1&gt;'Qredits maandlasten'!$C$7,"",G206*I206*'Qredits maandlasten'!$C$8/12))</f>
        <v/>
      </c>
      <c r="L206" s="423" t="str">
        <f t="shared" si="17"/>
        <v/>
      </c>
      <c r="M206" s="423" t="str">
        <f t="shared" si="15"/>
        <v/>
      </c>
      <c r="N206" s="422"/>
      <c r="O206" s="424" t="str">
        <f>IF($B206="","",'Qredits maandlasten'!$C$8/12)</f>
        <v/>
      </c>
      <c r="P206" s="424" t="str">
        <f>IF($B206="","",'Qredits maandlasten'!$C$8/12*(POWER(1+'Qredits maandlasten'!$C$8/12,$B206-1+1)))</f>
        <v/>
      </c>
      <c r="Q206" s="424" t="str">
        <f t="shared" si="18"/>
        <v/>
      </c>
      <c r="R206" s="422"/>
      <c r="S206" s="423" t="str">
        <f t="shared" si="16"/>
        <v/>
      </c>
      <c r="T206" s="423" t="str">
        <f>IF(S206="","",J206/(POWER(1+'Qredits maandlasten'!$C$8/12,$B206-1+1)))</f>
        <v/>
      </c>
      <c r="U206" s="425" t="str">
        <f t="shared" si="19"/>
        <v/>
      </c>
      <c r="V206" s="423" t="str">
        <f>IF($B206="","",K206/(POWER(1+'Qredits maandlasten'!$C$8/12,$B206-1+1)))</f>
        <v/>
      </c>
      <c r="W206" s="422"/>
    </row>
    <row r="207" spans="1:23" s="427" customFormat="1" x14ac:dyDescent="0.2">
      <c r="A207" s="418"/>
      <c r="B207" s="419" t="str">
        <f>IF($B206="","",IF($B206+1&gt;'Qredits maandlasten'!$C$7,"",Schema!B206+1))</f>
        <v/>
      </c>
      <c r="C207" s="420" t="str">
        <f>IF($B206="","",IF($B206+1&gt;'Qredits maandlasten'!$C$7,"",EOMONTH(C206,0)+1))</f>
        <v/>
      </c>
      <c r="D207" s="418"/>
      <c r="E207" s="420" t="str">
        <f>IF($B206="","",IF($B206+1&gt;'Qredits maandlasten'!$C$7,"",F206+1))</f>
        <v/>
      </c>
      <c r="F207" s="420" t="str">
        <f>IF($B206="","",IF($B206+1&gt;'Qredits maandlasten'!$C$7,"",EOMONTH(C207,-1)))</f>
        <v/>
      </c>
      <c r="G207" s="421" t="str">
        <f>IF($B206="","",IF($B206+1&gt;'Qredits maandlasten'!$C$7,"",(_xlfn.DAYS(F207,E207)+1)/DAY(F207)))</f>
        <v/>
      </c>
      <c r="H207" s="422"/>
      <c r="I207" s="423" t="str">
        <f>IF($B206="","",IF($B206+1&gt;'Qredits maandlasten'!$C$7,"",I206-J206))</f>
        <v/>
      </c>
      <c r="J207" s="423" t="str">
        <f>IF($B206="","",IF($B206+1&gt;'Qredits maandlasten'!$C$7,"",IF(B206&lt;'Investering &amp; Financiering'!$E$52-1,0,IF('Qredits maandlasten'!$C$10="Lineair",'Qredits maandlasten'!$H$4,IF('Qredits maandlasten'!$C$10="Annuïteit",IFERROR('Qredits maandlasten'!$H$4-K207,0),0)))))</f>
        <v/>
      </c>
      <c r="K207" s="423" t="str">
        <f>IF($B206="","",IF($B206+1&gt;'Qredits maandlasten'!$C$7,"",G207*I207*'Qredits maandlasten'!$C$8/12))</f>
        <v/>
      </c>
      <c r="L207" s="423" t="str">
        <f t="shared" si="17"/>
        <v/>
      </c>
      <c r="M207" s="423" t="str">
        <f t="shared" si="15"/>
        <v/>
      </c>
      <c r="N207" s="422"/>
      <c r="O207" s="424" t="str">
        <f>IF($B207="","",'Qredits maandlasten'!$C$8/12)</f>
        <v/>
      </c>
      <c r="P207" s="424" t="str">
        <f>IF($B207="","",'Qredits maandlasten'!$C$8/12*(POWER(1+'Qredits maandlasten'!$C$8/12,$B207-1+1)))</f>
        <v/>
      </c>
      <c r="Q207" s="424" t="str">
        <f t="shared" si="18"/>
        <v/>
      </c>
      <c r="R207" s="422"/>
      <c r="S207" s="423" t="str">
        <f t="shared" si="16"/>
        <v/>
      </c>
      <c r="T207" s="423" t="str">
        <f>IF(S207="","",J207/(POWER(1+'Qredits maandlasten'!$C$8/12,$B207-1+1)))</f>
        <v/>
      </c>
      <c r="U207" s="425" t="str">
        <f t="shared" si="19"/>
        <v/>
      </c>
      <c r="V207" s="423" t="str">
        <f>IF($B207="","",K207/(POWER(1+'Qredits maandlasten'!$C$8/12,$B207-1+1)))</f>
        <v/>
      </c>
      <c r="W207" s="422"/>
    </row>
    <row r="208" spans="1:23" s="427" customFormat="1" x14ac:dyDescent="0.2">
      <c r="A208" s="418"/>
      <c r="B208" s="419" t="str">
        <f>IF($B207="","",IF($B207+1&gt;'Qredits maandlasten'!$C$7,"",Schema!B207+1))</f>
        <v/>
      </c>
      <c r="C208" s="420" t="str">
        <f>IF($B207="","",IF($B207+1&gt;'Qredits maandlasten'!$C$7,"",EOMONTH(C207,0)+1))</f>
        <v/>
      </c>
      <c r="D208" s="418"/>
      <c r="E208" s="420" t="str">
        <f>IF($B207="","",IF($B207+1&gt;'Qredits maandlasten'!$C$7,"",F207+1))</f>
        <v/>
      </c>
      <c r="F208" s="420" t="str">
        <f>IF($B207="","",IF($B207+1&gt;'Qredits maandlasten'!$C$7,"",EOMONTH(C208,-1)))</f>
        <v/>
      </c>
      <c r="G208" s="421" t="str">
        <f>IF($B207="","",IF($B207+1&gt;'Qredits maandlasten'!$C$7,"",(_xlfn.DAYS(F208,E208)+1)/DAY(F208)))</f>
        <v/>
      </c>
      <c r="H208" s="422"/>
      <c r="I208" s="423" t="str">
        <f>IF($B207="","",IF($B207+1&gt;'Qredits maandlasten'!$C$7,"",I207-J207))</f>
        <v/>
      </c>
      <c r="J208" s="423" t="str">
        <f>IF($B207="","",IF($B207+1&gt;'Qredits maandlasten'!$C$7,"",IF(B207&lt;'Investering &amp; Financiering'!$E$52-1,0,IF('Qredits maandlasten'!$C$10="Lineair",'Qredits maandlasten'!$H$4,IF('Qredits maandlasten'!$C$10="Annuïteit",IFERROR('Qredits maandlasten'!$H$4-K208,0),0)))))</f>
        <v/>
      </c>
      <c r="K208" s="423" t="str">
        <f>IF($B207="","",IF($B207+1&gt;'Qredits maandlasten'!$C$7,"",G208*I208*'Qredits maandlasten'!$C$8/12))</f>
        <v/>
      </c>
      <c r="L208" s="423" t="str">
        <f t="shared" si="17"/>
        <v/>
      </c>
      <c r="M208" s="423" t="str">
        <f t="shared" si="15"/>
        <v/>
      </c>
      <c r="N208" s="422"/>
      <c r="O208" s="424" t="str">
        <f>IF($B208="","",'Qredits maandlasten'!$C$8/12)</f>
        <v/>
      </c>
      <c r="P208" s="424" t="str">
        <f>IF($B208="","",'Qredits maandlasten'!$C$8/12*(POWER(1+'Qredits maandlasten'!$C$8/12,$B208-1+1)))</f>
        <v/>
      </c>
      <c r="Q208" s="424" t="str">
        <f t="shared" si="18"/>
        <v/>
      </c>
      <c r="R208" s="422"/>
      <c r="S208" s="423" t="str">
        <f t="shared" si="16"/>
        <v/>
      </c>
      <c r="T208" s="423" t="str">
        <f>IF(S208="","",J208/(POWER(1+'Qredits maandlasten'!$C$8/12,$B208-1+1)))</f>
        <v/>
      </c>
      <c r="U208" s="425" t="str">
        <f t="shared" si="19"/>
        <v/>
      </c>
      <c r="V208" s="423" t="str">
        <f>IF($B208="","",K208/(POWER(1+'Qredits maandlasten'!$C$8/12,$B208-1+1)))</f>
        <v/>
      </c>
      <c r="W208" s="422"/>
    </row>
    <row r="209" spans="1:23" s="427" customFormat="1" x14ac:dyDescent="0.2">
      <c r="A209" s="418"/>
      <c r="B209" s="419" t="str">
        <f>IF($B208="","",IF($B208+1&gt;'Qredits maandlasten'!$C$7,"",Schema!B208+1))</f>
        <v/>
      </c>
      <c r="C209" s="420" t="str">
        <f>IF($B208="","",IF($B208+1&gt;'Qredits maandlasten'!$C$7,"",EOMONTH(C208,0)+1))</f>
        <v/>
      </c>
      <c r="D209" s="418"/>
      <c r="E209" s="420" t="str">
        <f>IF($B208="","",IF($B208+1&gt;'Qredits maandlasten'!$C$7,"",F208+1))</f>
        <v/>
      </c>
      <c r="F209" s="420" t="str">
        <f>IF($B208="","",IF($B208+1&gt;'Qredits maandlasten'!$C$7,"",EOMONTH(C209,-1)))</f>
        <v/>
      </c>
      <c r="G209" s="421" t="str">
        <f>IF($B208="","",IF($B208+1&gt;'Qredits maandlasten'!$C$7,"",(_xlfn.DAYS(F209,E209)+1)/DAY(F209)))</f>
        <v/>
      </c>
      <c r="H209" s="422"/>
      <c r="I209" s="423" t="str">
        <f>IF($B208="","",IF($B208+1&gt;'Qredits maandlasten'!$C$7,"",I208-J208))</f>
        <v/>
      </c>
      <c r="J209" s="423" t="str">
        <f>IF($B208="","",IF($B208+1&gt;'Qredits maandlasten'!$C$7,"",IF(B208&lt;'Investering &amp; Financiering'!$E$52-1,0,IF('Qredits maandlasten'!$C$10="Lineair",'Qredits maandlasten'!$H$4,IF('Qredits maandlasten'!$C$10="Annuïteit",IFERROR('Qredits maandlasten'!$H$4-K209,0),0)))))</f>
        <v/>
      </c>
      <c r="K209" s="423" t="str">
        <f>IF($B208="","",IF($B208+1&gt;'Qredits maandlasten'!$C$7,"",G209*I209*'Qredits maandlasten'!$C$8/12))</f>
        <v/>
      </c>
      <c r="L209" s="423" t="str">
        <f t="shared" si="17"/>
        <v/>
      </c>
      <c r="M209" s="423" t="str">
        <f t="shared" si="15"/>
        <v/>
      </c>
      <c r="N209" s="422"/>
      <c r="O209" s="424" t="str">
        <f>IF($B209="","",'Qredits maandlasten'!$C$8/12)</f>
        <v/>
      </c>
      <c r="P209" s="424" t="str">
        <f>IF($B209="","",'Qredits maandlasten'!$C$8/12*(POWER(1+'Qredits maandlasten'!$C$8/12,$B209-1+1)))</f>
        <v/>
      </c>
      <c r="Q209" s="424" t="str">
        <f t="shared" si="18"/>
        <v/>
      </c>
      <c r="R209" s="422"/>
      <c r="S209" s="423" t="str">
        <f t="shared" si="16"/>
        <v/>
      </c>
      <c r="T209" s="423" t="str">
        <f>IF(S209="","",J209/(POWER(1+'Qredits maandlasten'!$C$8/12,$B209-1+1)))</f>
        <v/>
      </c>
      <c r="U209" s="425" t="str">
        <f t="shared" si="19"/>
        <v/>
      </c>
      <c r="V209" s="423" t="str">
        <f>IF($B209="","",K209/(POWER(1+'Qredits maandlasten'!$C$8/12,$B209-1+1)))</f>
        <v/>
      </c>
      <c r="W209" s="422"/>
    </row>
    <row r="210" spans="1:23" s="427" customFormat="1" x14ac:dyDescent="0.2">
      <c r="A210" s="418"/>
      <c r="B210" s="419" t="str">
        <f>IF($B209="","",IF($B209+1&gt;'Qredits maandlasten'!$C$7,"",Schema!B209+1))</f>
        <v/>
      </c>
      <c r="C210" s="420" t="str">
        <f>IF($B209="","",IF($B209+1&gt;'Qredits maandlasten'!$C$7,"",EOMONTH(C209,0)+1))</f>
        <v/>
      </c>
      <c r="D210" s="418"/>
      <c r="E210" s="420" t="str">
        <f>IF($B209="","",IF($B209+1&gt;'Qredits maandlasten'!$C$7,"",F209+1))</f>
        <v/>
      </c>
      <c r="F210" s="420" t="str">
        <f>IF($B209="","",IF($B209+1&gt;'Qredits maandlasten'!$C$7,"",EOMONTH(C210,-1)))</f>
        <v/>
      </c>
      <c r="G210" s="421" t="str">
        <f>IF($B209="","",IF($B209+1&gt;'Qredits maandlasten'!$C$7,"",(_xlfn.DAYS(F210,E210)+1)/DAY(F210)))</f>
        <v/>
      </c>
      <c r="H210" s="422"/>
      <c r="I210" s="423" t="str">
        <f>IF($B209="","",IF($B209+1&gt;'Qredits maandlasten'!$C$7,"",I209-J209))</f>
        <v/>
      </c>
      <c r="J210" s="423" t="str">
        <f>IF($B209="","",IF($B209+1&gt;'Qredits maandlasten'!$C$7,"",IF(B209&lt;'Investering &amp; Financiering'!$E$52-1,0,IF('Qredits maandlasten'!$C$10="Lineair",'Qredits maandlasten'!$H$4,IF('Qredits maandlasten'!$C$10="Annuïteit",IFERROR('Qredits maandlasten'!$H$4-K210,0),0)))))</f>
        <v/>
      </c>
      <c r="K210" s="423" t="str">
        <f>IF($B209="","",IF($B209+1&gt;'Qredits maandlasten'!$C$7,"",G210*I210*'Qredits maandlasten'!$C$8/12))</f>
        <v/>
      </c>
      <c r="L210" s="423" t="str">
        <f t="shared" si="17"/>
        <v/>
      </c>
      <c r="M210" s="423" t="str">
        <f t="shared" si="15"/>
        <v/>
      </c>
      <c r="N210" s="422"/>
      <c r="O210" s="424" t="str">
        <f>IF($B210="","",'Qredits maandlasten'!$C$8/12)</f>
        <v/>
      </c>
      <c r="P210" s="424" t="str">
        <f>IF($B210="","",'Qredits maandlasten'!$C$8/12*(POWER(1+'Qredits maandlasten'!$C$8/12,$B210-1+1)))</f>
        <v/>
      </c>
      <c r="Q210" s="424" t="str">
        <f t="shared" si="18"/>
        <v/>
      </c>
      <c r="R210" s="422"/>
      <c r="S210" s="423" t="str">
        <f t="shared" si="16"/>
        <v/>
      </c>
      <c r="T210" s="423" t="str">
        <f>IF(S210="","",J210/(POWER(1+'Qredits maandlasten'!$C$8/12,$B210-1+1)))</f>
        <v/>
      </c>
      <c r="U210" s="425" t="str">
        <f t="shared" si="19"/>
        <v/>
      </c>
      <c r="V210" s="423" t="str">
        <f>IF($B210="","",K210/(POWER(1+'Qredits maandlasten'!$C$8/12,$B210-1+1)))</f>
        <v/>
      </c>
      <c r="W210" s="422"/>
    </row>
    <row r="211" spans="1:23" s="427" customFormat="1" x14ac:dyDescent="0.2">
      <c r="A211" s="418"/>
      <c r="B211" s="419" t="str">
        <f>IF($B210="","",IF($B210+1&gt;'Qredits maandlasten'!$C$7,"",Schema!B210+1))</f>
        <v/>
      </c>
      <c r="C211" s="420" t="str">
        <f>IF($B210="","",IF($B210+1&gt;'Qredits maandlasten'!$C$7,"",EOMONTH(C210,0)+1))</f>
        <v/>
      </c>
      <c r="D211" s="418"/>
      <c r="E211" s="420" t="str">
        <f>IF($B210="","",IF($B210+1&gt;'Qredits maandlasten'!$C$7,"",F210+1))</f>
        <v/>
      </c>
      <c r="F211" s="420" t="str">
        <f>IF($B210="","",IF($B210+1&gt;'Qredits maandlasten'!$C$7,"",EOMONTH(C211,-1)))</f>
        <v/>
      </c>
      <c r="G211" s="421" t="str">
        <f>IF($B210="","",IF($B210+1&gt;'Qredits maandlasten'!$C$7,"",(_xlfn.DAYS(F211,E211)+1)/DAY(F211)))</f>
        <v/>
      </c>
      <c r="H211" s="422"/>
      <c r="I211" s="423" t="str">
        <f>IF($B210="","",IF($B210+1&gt;'Qredits maandlasten'!$C$7,"",I210-J210))</f>
        <v/>
      </c>
      <c r="J211" s="423" t="str">
        <f>IF($B210="","",IF($B210+1&gt;'Qredits maandlasten'!$C$7,"",IF(B210&lt;'Investering &amp; Financiering'!$E$52-1,0,IF('Qredits maandlasten'!$C$10="Lineair",'Qredits maandlasten'!$H$4,IF('Qredits maandlasten'!$C$10="Annuïteit",IFERROR('Qredits maandlasten'!$H$4-K211,0),0)))))</f>
        <v/>
      </c>
      <c r="K211" s="423" t="str">
        <f>IF($B210="","",IF($B210+1&gt;'Qredits maandlasten'!$C$7,"",G211*I211*'Qredits maandlasten'!$C$8/12))</f>
        <v/>
      </c>
      <c r="L211" s="423" t="str">
        <f t="shared" si="17"/>
        <v/>
      </c>
      <c r="M211" s="423" t="str">
        <f t="shared" si="15"/>
        <v/>
      </c>
      <c r="N211" s="422"/>
      <c r="O211" s="424" t="str">
        <f>IF($B211="","",'Qredits maandlasten'!$C$8/12)</f>
        <v/>
      </c>
      <c r="P211" s="424" t="str">
        <f>IF($B211="","",'Qredits maandlasten'!$C$8/12*(POWER(1+'Qredits maandlasten'!$C$8/12,$B211-1+1)))</f>
        <v/>
      </c>
      <c r="Q211" s="424" t="str">
        <f t="shared" si="18"/>
        <v/>
      </c>
      <c r="R211" s="422"/>
      <c r="S211" s="423" t="str">
        <f t="shared" si="16"/>
        <v/>
      </c>
      <c r="T211" s="423" t="str">
        <f>IF(S211="","",J211/(POWER(1+'Qredits maandlasten'!$C$8/12,$B211-1+1)))</f>
        <v/>
      </c>
      <c r="U211" s="425" t="str">
        <f t="shared" si="19"/>
        <v/>
      </c>
      <c r="V211" s="423" t="str">
        <f>IF($B211="","",K211/(POWER(1+'Qredits maandlasten'!$C$8/12,$B211-1+1)))</f>
        <v/>
      </c>
      <c r="W211" s="422"/>
    </row>
    <row r="212" spans="1:23" s="427" customFormat="1" x14ac:dyDescent="0.2">
      <c r="A212" s="418"/>
      <c r="B212" s="419" t="str">
        <f>IF($B211="","",IF($B211+1&gt;'Qredits maandlasten'!$C$7,"",Schema!B211+1))</f>
        <v/>
      </c>
      <c r="C212" s="420" t="str">
        <f>IF($B211="","",IF($B211+1&gt;'Qredits maandlasten'!$C$7,"",EOMONTH(C211,0)+1))</f>
        <v/>
      </c>
      <c r="D212" s="418"/>
      <c r="E212" s="420" t="str">
        <f>IF($B211="","",IF($B211+1&gt;'Qredits maandlasten'!$C$7,"",F211+1))</f>
        <v/>
      </c>
      <c r="F212" s="420" t="str">
        <f>IF($B211="","",IF($B211+1&gt;'Qredits maandlasten'!$C$7,"",EOMONTH(C212,-1)))</f>
        <v/>
      </c>
      <c r="G212" s="421" t="str">
        <f>IF($B211="","",IF($B211+1&gt;'Qredits maandlasten'!$C$7,"",(_xlfn.DAYS(F212,E212)+1)/DAY(F212)))</f>
        <v/>
      </c>
      <c r="H212" s="422"/>
      <c r="I212" s="423" t="str">
        <f>IF($B211="","",IF($B211+1&gt;'Qredits maandlasten'!$C$7,"",I211-J211))</f>
        <v/>
      </c>
      <c r="J212" s="423" t="str">
        <f>IF($B211="","",IF($B211+1&gt;'Qredits maandlasten'!$C$7,"",IF(B211&lt;'Investering &amp; Financiering'!$E$52-1,0,IF('Qredits maandlasten'!$C$10="Lineair",'Qredits maandlasten'!$H$4,IF('Qredits maandlasten'!$C$10="Annuïteit",IFERROR('Qredits maandlasten'!$H$4-K212,0),0)))))</f>
        <v/>
      </c>
      <c r="K212" s="423" t="str">
        <f>IF($B211="","",IF($B211+1&gt;'Qredits maandlasten'!$C$7,"",G212*I212*'Qredits maandlasten'!$C$8/12))</f>
        <v/>
      </c>
      <c r="L212" s="423" t="str">
        <f t="shared" si="17"/>
        <v/>
      </c>
      <c r="M212" s="423" t="str">
        <f t="shared" si="15"/>
        <v/>
      </c>
      <c r="N212" s="422"/>
      <c r="O212" s="424" t="str">
        <f>IF($B212="","",'Qredits maandlasten'!$C$8/12)</f>
        <v/>
      </c>
      <c r="P212" s="424" t="str">
        <f>IF($B212="","",'Qredits maandlasten'!$C$8/12*(POWER(1+'Qredits maandlasten'!$C$8/12,$B212-1+1)))</f>
        <v/>
      </c>
      <c r="Q212" s="424" t="str">
        <f t="shared" si="18"/>
        <v/>
      </c>
      <c r="R212" s="422"/>
      <c r="S212" s="423" t="str">
        <f t="shared" si="16"/>
        <v/>
      </c>
      <c r="T212" s="423" t="str">
        <f>IF(S212="","",J212/(POWER(1+'Qredits maandlasten'!$C$8/12,$B212-1+1)))</f>
        <v/>
      </c>
      <c r="U212" s="425" t="str">
        <f t="shared" si="19"/>
        <v/>
      </c>
      <c r="V212" s="423" t="str">
        <f>IF($B212="","",K212/(POWER(1+'Qredits maandlasten'!$C$8/12,$B212-1+1)))</f>
        <v/>
      </c>
      <c r="W212" s="422"/>
    </row>
    <row r="213" spans="1:23" s="427" customFormat="1" x14ac:dyDescent="0.2">
      <c r="A213" s="418"/>
      <c r="B213" s="419" t="str">
        <f>IF($B212="","",IF($B212+1&gt;'Qredits maandlasten'!$C$7,"",Schema!B212+1))</f>
        <v/>
      </c>
      <c r="C213" s="420" t="str">
        <f>IF($B212="","",IF($B212+1&gt;'Qredits maandlasten'!$C$7,"",EOMONTH(C212,0)+1))</f>
        <v/>
      </c>
      <c r="D213" s="418"/>
      <c r="E213" s="420" t="str">
        <f>IF($B212="","",IF($B212+1&gt;'Qredits maandlasten'!$C$7,"",F212+1))</f>
        <v/>
      </c>
      <c r="F213" s="420" t="str">
        <f>IF($B212="","",IF($B212+1&gt;'Qredits maandlasten'!$C$7,"",EOMONTH(C213,-1)))</f>
        <v/>
      </c>
      <c r="G213" s="421" t="str">
        <f>IF($B212="","",IF($B212+1&gt;'Qredits maandlasten'!$C$7,"",(_xlfn.DAYS(F213,E213)+1)/DAY(F213)))</f>
        <v/>
      </c>
      <c r="H213" s="422"/>
      <c r="I213" s="423" t="str">
        <f>IF($B212="","",IF($B212+1&gt;'Qredits maandlasten'!$C$7,"",I212-J212))</f>
        <v/>
      </c>
      <c r="J213" s="423" t="str">
        <f>IF($B212="","",IF($B212+1&gt;'Qredits maandlasten'!$C$7,"",IF(B212&lt;'Investering &amp; Financiering'!$E$52-1,0,IF('Qredits maandlasten'!$C$10="Lineair",'Qredits maandlasten'!$H$4,IF('Qredits maandlasten'!$C$10="Annuïteit",IFERROR('Qredits maandlasten'!$H$4-K213,0),0)))))</f>
        <v/>
      </c>
      <c r="K213" s="423" t="str">
        <f>IF($B212="","",IF($B212+1&gt;'Qredits maandlasten'!$C$7,"",G213*I213*'Qredits maandlasten'!$C$8/12))</f>
        <v/>
      </c>
      <c r="L213" s="423" t="str">
        <f t="shared" si="17"/>
        <v/>
      </c>
      <c r="M213" s="423" t="str">
        <f t="shared" si="15"/>
        <v/>
      </c>
      <c r="N213" s="422"/>
      <c r="O213" s="424" t="str">
        <f>IF($B213="","",'Qredits maandlasten'!$C$8/12)</f>
        <v/>
      </c>
      <c r="P213" s="424" t="str">
        <f>IF($B213="","",'Qredits maandlasten'!$C$8/12*(POWER(1+'Qredits maandlasten'!$C$8/12,$B213-1+1)))</f>
        <v/>
      </c>
      <c r="Q213" s="424" t="str">
        <f t="shared" si="18"/>
        <v/>
      </c>
      <c r="R213" s="422"/>
      <c r="S213" s="423" t="str">
        <f t="shared" si="16"/>
        <v/>
      </c>
      <c r="T213" s="423" t="str">
        <f>IF(S213="","",J213/(POWER(1+'Qredits maandlasten'!$C$8/12,$B213-1+1)))</f>
        <v/>
      </c>
      <c r="U213" s="425" t="str">
        <f t="shared" si="19"/>
        <v/>
      </c>
      <c r="V213" s="423" t="str">
        <f>IF($B213="","",K213/(POWER(1+'Qredits maandlasten'!$C$8/12,$B213-1+1)))</f>
        <v/>
      </c>
      <c r="W213" s="422"/>
    </row>
    <row r="214" spans="1:23" s="427" customFormat="1" x14ac:dyDescent="0.2">
      <c r="A214" s="418"/>
      <c r="B214" s="419" t="str">
        <f>IF($B213="","",IF($B213+1&gt;'Qredits maandlasten'!$C$7,"",Schema!B213+1))</f>
        <v/>
      </c>
      <c r="C214" s="420" t="str">
        <f>IF($B213="","",IF($B213+1&gt;'Qredits maandlasten'!$C$7,"",EOMONTH(C213,0)+1))</f>
        <v/>
      </c>
      <c r="D214" s="418"/>
      <c r="E214" s="420" t="str">
        <f>IF($B213="","",IF($B213+1&gt;'Qredits maandlasten'!$C$7,"",F213+1))</f>
        <v/>
      </c>
      <c r="F214" s="420" t="str">
        <f>IF($B213="","",IF($B213+1&gt;'Qredits maandlasten'!$C$7,"",EOMONTH(C214,-1)))</f>
        <v/>
      </c>
      <c r="G214" s="421" t="str">
        <f>IF($B213="","",IF($B213+1&gt;'Qredits maandlasten'!$C$7,"",(_xlfn.DAYS(F214,E214)+1)/DAY(F214)))</f>
        <v/>
      </c>
      <c r="H214" s="422"/>
      <c r="I214" s="423" t="str">
        <f>IF($B213="","",IF($B213+1&gt;'Qredits maandlasten'!$C$7,"",I213-J213))</f>
        <v/>
      </c>
      <c r="J214" s="423" t="str">
        <f>IF($B213="","",IF($B213+1&gt;'Qredits maandlasten'!$C$7,"",IF(B213&lt;'Investering &amp; Financiering'!$E$52-1,0,IF('Qredits maandlasten'!$C$10="Lineair",'Qredits maandlasten'!$H$4,IF('Qredits maandlasten'!$C$10="Annuïteit",IFERROR('Qredits maandlasten'!$H$4-K214,0),0)))))</f>
        <v/>
      </c>
      <c r="K214" s="423" t="str">
        <f>IF($B213="","",IF($B213+1&gt;'Qredits maandlasten'!$C$7,"",G214*I214*'Qredits maandlasten'!$C$8/12))</f>
        <v/>
      </c>
      <c r="L214" s="423" t="str">
        <f t="shared" si="17"/>
        <v/>
      </c>
      <c r="M214" s="423" t="str">
        <f t="shared" si="15"/>
        <v/>
      </c>
      <c r="N214" s="422"/>
      <c r="O214" s="424" t="str">
        <f>IF($B214="","",'Qredits maandlasten'!$C$8/12)</f>
        <v/>
      </c>
      <c r="P214" s="424" t="str">
        <f>IF($B214="","",'Qredits maandlasten'!$C$8/12*(POWER(1+'Qredits maandlasten'!$C$8/12,$B214-1+1)))</f>
        <v/>
      </c>
      <c r="Q214" s="424" t="str">
        <f t="shared" si="18"/>
        <v/>
      </c>
      <c r="R214" s="422"/>
      <c r="S214" s="423" t="str">
        <f t="shared" si="16"/>
        <v/>
      </c>
      <c r="T214" s="423" t="str">
        <f>IF(S214="","",J214/(POWER(1+'Qredits maandlasten'!$C$8/12,$B214-1+1)))</f>
        <v/>
      </c>
      <c r="U214" s="425" t="str">
        <f t="shared" si="19"/>
        <v/>
      </c>
      <c r="V214" s="423" t="str">
        <f>IF($B214="","",K214/(POWER(1+'Qredits maandlasten'!$C$8/12,$B214-1+1)))</f>
        <v/>
      </c>
      <c r="W214" s="422"/>
    </row>
    <row r="215" spans="1:23" s="427" customFormat="1" x14ac:dyDescent="0.2">
      <c r="A215" s="418"/>
      <c r="B215" s="419" t="str">
        <f>IF($B214="","",IF($B214+1&gt;'Qredits maandlasten'!$C$7,"",Schema!B214+1))</f>
        <v/>
      </c>
      <c r="C215" s="420" t="str">
        <f>IF($B214="","",IF($B214+1&gt;'Qredits maandlasten'!$C$7,"",EOMONTH(C214,0)+1))</f>
        <v/>
      </c>
      <c r="D215" s="418"/>
      <c r="E215" s="420" t="str">
        <f>IF($B214="","",IF($B214+1&gt;'Qredits maandlasten'!$C$7,"",F214+1))</f>
        <v/>
      </c>
      <c r="F215" s="420" t="str">
        <f>IF($B214="","",IF($B214+1&gt;'Qredits maandlasten'!$C$7,"",EOMONTH(C215,-1)))</f>
        <v/>
      </c>
      <c r="G215" s="421" t="str">
        <f>IF($B214="","",IF($B214+1&gt;'Qredits maandlasten'!$C$7,"",(_xlfn.DAYS(F215,E215)+1)/DAY(F215)))</f>
        <v/>
      </c>
      <c r="H215" s="422"/>
      <c r="I215" s="423" t="str">
        <f>IF($B214="","",IF($B214+1&gt;'Qredits maandlasten'!$C$7,"",I214-J214))</f>
        <v/>
      </c>
      <c r="J215" s="423" t="str">
        <f>IF($B214="","",IF($B214+1&gt;'Qredits maandlasten'!$C$7,"",IF(B214&lt;'Investering &amp; Financiering'!$E$52-1,0,IF('Qredits maandlasten'!$C$10="Lineair",'Qredits maandlasten'!$H$4,IF('Qredits maandlasten'!$C$10="Annuïteit",IFERROR('Qredits maandlasten'!$H$4-K215,0),0)))))</f>
        <v/>
      </c>
      <c r="K215" s="423" t="str">
        <f>IF($B214="","",IF($B214+1&gt;'Qredits maandlasten'!$C$7,"",G215*I215*'Qredits maandlasten'!$C$8/12))</f>
        <v/>
      </c>
      <c r="L215" s="423" t="str">
        <f t="shared" si="17"/>
        <v/>
      </c>
      <c r="M215" s="423" t="str">
        <f t="shared" si="15"/>
        <v/>
      </c>
      <c r="N215" s="422"/>
      <c r="O215" s="424" t="str">
        <f>IF($B215="","",'Qredits maandlasten'!$C$8/12)</f>
        <v/>
      </c>
      <c r="P215" s="424" t="str">
        <f>IF($B215="","",'Qredits maandlasten'!$C$8/12*(POWER(1+'Qredits maandlasten'!$C$8/12,$B215-1+1)))</f>
        <v/>
      </c>
      <c r="Q215" s="424" t="str">
        <f t="shared" si="18"/>
        <v/>
      </c>
      <c r="R215" s="422"/>
      <c r="S215" s="423" t="str">
        <f t="shared" si="16"/>
        <v/>
      </c>
      <c r="T215" s="423" t="str">
        <f>IF(S215="","",J215/(POWER(1+'Qredits maandlasten'!$C$8/12,$B215-1+1)))</f>
        <v/>
      </c>
      <c r="U215" s="425" t="str">
        <f t="shared" si="19"/>
        <v/>
      </c>
      <c r="V215" s="423" t="str">
        <f>IF($B215="","",K215/(POWER(1+'Qredits maandlasten'!$C$8/12,$B215-1+1)))</f>
        <v/>
      </c>
      <c r="W215" s="422"/>
    </row>
    <row r="216" spans="1:23" s="427" customFormat="1" x14ac:dyDescent="0.2">
      <c r="A216" s="418"/>
      <c r="B216" s="419" t="str">
        <f>IF($B215="","",IF($B215+1&gt;'Qredits maandlasten'!$C$7,"",Schema!B215+1))</f>
        <v/>
      </c>
      <c r="C216" s="420" t="str">
        <f>IF($B215="","",IF($B215+1&gt;'Qredits maandlasten'!$C$7,"",EOMONTH(C215,0)+1))</f>
        <v/>
      </c>
      <c r="D216" s="418"/>
      <c r="E216" s="420" t="str">
        <f>IF($B215="","",IF($B215+1&gt;'Qredits maandlasten'!$C$7,"",F215+1))</f>
        <v/>
      </c>
      <c r="F216" s="420" t="str">
        <f>IF($B215="","",IF($B215+1&gt;'Qredits maandlasten'!$C$7,"",EOMONTH(C216,-1)))</f>
        <v/>
      </c>
      <c r="G216" s="421" t="str">
        <f>IF($B215="","",IF($B215+1&gt;'Qredits maandlasten'!$C$7,"",(_xlfn.DAYS(F216,E216)+1)/DAY(F216)))</f>
        <v/>
      </c>
      <c r="H216" s="422"/>
      <c r="I216" s="423" t="str">
        <f>IF($B215="","",IF($B215+1&gt;'Qredits maandlasten'!$C$7,"",I215-J215))</f>
        <v/>
      </c>
      <c r="J216" s="423" t="str">
        <f>IF($B215="","",IF($B215+1&gt;'Qredits maandlasten'!$C$7,"",IF(B215&lt;'Investering &amp; Financiering'!$E$52-1,0,IF('Qredits maandlasten'!$C$10="Lineair",'Qredits maandlasten'!$H$4,IF('Qredits maandlasten'!$C$10="Annuïteit",IFERROR('Qredits maandlasten'!$H$4-K216,0),0)))))</f>
        <v/>
      </c>
      <c r="K216" s="423" t="str">
        <f>IF($B215="","",IF($B215+1&gt;'Qredits maandlasten'!$C$7,"",G216*I216*'Qredits maandlasten'!$C$8/12))</f>
        <v/>
      </c>
      <c r="L216" s="423" t="str">
        <f t="shared" si="17"/>
        <v/>
      </c>
      <c r="M216" s="423" t="str">
        <f t="shared" si="15"/>
        <v/>
      </c>
      <c r="N216" s="422"/>
      <c r="O216" s="424" t="str">
        <f>IF($B216="","",'Qredits maandlasten'!$C$8/12)</f>
        <v/>
      </c>
      <c r="P216" s="424" t="str">
        <f>IF($B216="","",'Qredits maandlasten'!$C$8/12*(POWER(1+'Qredits maandlasten'!$C$8/12,$B216-1+1)))</f>
        <v/>
      </c>
      <c r="Q216" s="424" t="str">
        <f t="shared" si="18"/>
        <v/>
      </c>
      <c r="R216" s="422"/>
      <c r="S216" s="423" t="str">
        <f t="shared" si="16"/>
        <v/>
      </c>
      <c r="T216" s="423" t="str">
        <f>IF(S216="","",J216/(POWER(1+'Qredits maandlasten'!$C$8/12,$B216-1+1)))</f>
        <v/>
      </c>
      <c r="U216" s="425" t="str">
        <f t="shared" si="19"/>
        <v/>
      </c>
      <c r="V216" s="423" t="str">
        <f>IF($B216="","",K216/(POWER(1+'Qredits maandlasten'!$C$8/12,$B216-1+1)))</f>
        <v/>
      </c>
      <c r="W216" s="422"/>
    </row>
    <row r="217" spans="1:23" s="427" customFormat="1" x14ac:dyDescent="0.2">
      <c r="A217" s="418"/>
      <c r="B217" s="419" t="str">
        <f>IF($B216="","",IF($B216+1&gt;'Qredits maandlasten'!$C$7,"",Schema!B216+1))</f>
        <v/>
      </c>
      <c r="C217" s="420" t="str">
        <f>IF($B216="","",IF($B216+1&gt;'Qredits maandlasten'!$C$7,"",EOMONTH(C216,0)+1))</f>
        <v/>
      </c>
      <c r="D217" s="418"/>
      <c r="E217" s="420" t="str">
        <f>IF($B216="","",IF($B216+1&gt;'Qredits maandlasten'!$C$7,"",F216+1))</f>
        <v/>
      </c>
      <c r="F217" s="420" t="str">
        <f>IF($B216="","",IF($B216+1&gt;'Qredits maandlasten'!$C$7,"",EOMONTH(C217,-1)))</f>
        <v/>
      </c>
      <c r="G217" s="421" t="str">
        <f>IF($B216="","",IF($B216+1&gt;'Qredits maandlasten'!$C$7,"",(_xlfn.DAYS(F217,E217)+1)/DAY(F217)))</f>
        <v/>
      </c>
      <c r="H217" s="422"/>
      <c r="I217" s="423" t="str">
        <f>IF($B216="","",IF($B216+1&gt;'Qredits maandlasten'!$C$7,"",I216-J216))</f>
        <v/>
      </c>
      <c r="J217" s="423" t="str">
        <f>IF($B216="","",IF($B216+1&gt;'Qredits maandlasten'!$C$7,"",IF(B216&lt;'Investering &amp; Financiering'!$E$52-1,0,IF('Qredits maandlasten'!$C$10="Lineair",'Qredits maandlasten'!$H$4,IF('Qredits maandlasten'!$C$10="Annuïteit",IFERROR('Qredits maandlasten'!$H$4-K217,0),0)))))</f>
        <v/>
      </c>
      <c r="K217" s="423" t="str">
        <f>IF($B216="","",IF($B216+1&gt;'Qredits maandlasten'!$C$7,"",G217*I217*'Qredits maandlasten'!$C$8/12))</f>
        <v/>
      </c>
      <c r="L217" s="423" t="str">
        <f t="shared" si="17"/>
        <v/>
      </c>
      <c r="M217" s="423" t="str">
        <f t="shared" si="15"/>
        <v/>
      </c>
      <c r="N217" s="422"/>
      <c r="O217" s="424" t="str">
        <f>IF($B217="","",'Qredits maandlasten'!$C$8/12)</f>
        <v/>
      </c>
      <c r="P217" s="424" t="str">
        <f>IF($B217="","",'Qredits maandlasten'!$C$8/12*(POWER(1+'Qredits maandlasten'!$C$8/12,$B217-1+1)))</f>
        <v/>
      </c>
      <c r="Q217" s="424" t="str">
        <f t="shared" si="18"/>
        <v/>
      </c>
      <c r="R217" s="422"/>
      <c r="S217" s="423" t="str">
        <f t="shared" si="16"/>
        <v/>
      </c>
      <c r="T217" s="423" t="str">
        <f>IF(S217="","",J217/(POWER(1+'Qredits maandlasten'!$C$8/12,$B217-1+1)))</f>
        <v/>
      </c>
      <c r="U217" s="425" t="str">
        <f t="shared" si="19"/>
        <v/>
      </c>
      <c r="V217" s="423" t="str">
        <f>IF($B217="","",K217/(POWER(1+'Qredits maandlasten'!$C$8/12,$B217-1+1)))</f>
        <v/>
      </c>
      <c r="W217" s="422"/>
    </row>
    <row r="218" spans="1:23" s="427" customFormat="1" x14ac:dyDescent="0.2">
      <c r="A218" s="418"/>
      <c r="B218" s="419" t="str">
        <f>IF($B217="","",IF($B217+1&gt;'Qredits maandlasten'!$C$7,"",Schema!B217+1))</f>
        <v/>
      </c>
      <c r="C218" s="420" t="str">
        <f>IF($B217="","",IF($B217+1&gt;'Qredits maandlasten'!$C$7,"",EOMONTH(C217,0)+1))</f>
        <v/>
      </c>
      <c r="D218" s="418"/>
      <c r="E218" s="420" t="str">
        <f>IF($B217="","",IF($B217+1&gt;'Qredits maandlasten'!$C$7,"",F217+1))</f>
        <v/>
      </c>
      <c r="F218" s="420" t="str">
        <f>IF($B217="","",IF($B217+1&gt;'Qredits maandlasten'!$C$7,"",EOMONTH(C218,-1)))</f>
        <v/>
      </c>
      <c r="G218" s="421" t="str">
        <f>IF($B217="","",IF($B217+1&gt;'Qredits maandlasten'!$C$7,"",(_xlfn.DAYS(F218,E218)+1)/DAY(F218)))</f>
        <v/>
      </c>
      <c r="H218" s="422"/>
      <c r="I218" s="423" t="str">
        <f>IF($B217="","",IF($B217+1&gt;'Qredits maandlasten'!$C$7,"",I217-J217))</f>
        <v/>
      </c>
      <c r="J218" s="423" t="str">
        <f>IF($B217="","",IF($B217+1&gt;'Qredits maandlasten'!$C$7,"",IF(B217&lt;'Investering &amp; Financiering'!$E$52-1,0,IF('Qredits maandlasten'!$C$10="Lineair",'Qredits maandlasten'!$H$4,IF('Qredits maandlasten'!$C$10="Annuïteit",IFERROR('Qredits maandlasten'!$H$4-K218,0),0)))))</f>
        <v/>
      </c>
      <c r="K218" s="423" t="str">
        <f>IF($B217="","",IF($B217+1&gt;'Qredits maandlasten'!$C$7,"",G218*I218*'Qredits maandlasten'!$C$8/12))</f>
        <v/>
      </c>
      <c r="L218" s="423" t="str">
        <f t="shared" si="17"/>
        <v/>
      </c>
      <c r="M218" s="423" t="str">
        <f t="shared" si="15"/>
        <v/>
      </c>
      <c r="N218" s="422"/>
      <c r="O218" s="424" t="str">
        <f>IF($B218="","",'Qredits maandlasten'!$C$8/12)</f>
        <v/>
      </c>
      <c r="P218" s="424" t="str">
        <f>IF($B218="","",'Qredits maandlasten'!$C$8/12*(POWER(1+'Qredits maandlasten'!$C$8/12,$B218-1+1)))</f>
        <v/>
      </c>
      <c r="Q218" s="424" t="str">
        <f t="shared" si="18"/>
        <v/>
      </c>
      <c r="R218" s="422"/>
      <c r="S218" s="423" t="str">
        <f t="shared" si="16"/>
        <v/>
      </c>
      <c r="T218" s="423" t="str">
        <f>IF(S218="","",J218/(POWER(1+'Qredits maandlasten'!$C$8/12,$B218-1+1)))</f>
        <v/>
      </c>
      <c r="U218" s="425" t="str">
        <f t="shared" si="19"/>
        <v/>
      </c>
      <c r="V218" s="423" t="str">
        <f>IF($B218="","",K218/(POWER(1+'Qredits maandlasten'!$C$8/12,$B218-1+1)))</f>
        <v/>
      </c>
      <c r="W218" s="422"/>
    </row>
    <row r="219" spans="1:23" s="427" customFormat="1" x14ac:dyDescent="0.2">
      <c r="A219" s="418"/>
      <c r="B219" s="419" t="str">
        <f>IF($B218="","",IF($B218+1&gt;'Qredits maandlasten'!$C$7,"",Schema!B218+1))</f>
        <v/>
      </c>
      <c r="C219" s="420" t="str">
        <f>IF($B218="","",IF($B218+1&gt;'Qredits maandlasten'!$C$7,"",EOMONTH(C218,0)+1))</f>
        <v/>
      </c>
      <c r="D219" s="418"/>
      <c r="E219" s="420" t="str">
        <f>IF($B218="","",IF($B218+1&gt;'Qredits maandlasten'!$C$7,"",F218+1))</f>
        <v/>
      </c>
      <c r="F219" s="420" t="str">
        <f>IF($B218="","",IF($B218+1&gt;'Qredits maandlasten'!$C$7,"",EOMONTH(C219,-1)))</f>
        <v/>
      </c>
      <c r="G219" s="421" t="str">
        <f>IF($B218="","",IF($B218+1&gt;'Qredits maandlasten'!$C$7,"",(_xlfn.DAYS(F219,E219)+1)/DAY(F219)))</f>
        <v/>
      </c>
      <c r="H219" s="422"/>
      <c r="I219" s="423" t="str">
        <f>IF($B218="","",IF($B218+1&gt;'Qredits maandlasten'!$C$7,"",I218-J218))</f>
        <v/>
      </c>
      <c r="J219" s="423" t="str">
        <f>IF($B218="","",IF($B218+1&gt;'Qredits maandlasten'!$C$7,"",IF(B218&lt;'Investering &amp; Financiering'!$E$52-1,0,IF('Qredits maandlasten'!$C$10="Lineair",'Qredits maandlasten'!$H$4,IF('Qredits maandlasten'!$C$10="Annuïteit",IFERROR('Qredits maandlasten'!$H$4-K219,0),0)))))</f>
        <v/>
      </c>
      <c r="K219" s="423" t="str">
        <f>IF($B218="","",IF($B218+1&gt;'Qredits maandlasten'!$C$7,"",G219*I219*'Qredits maandlasten'!$C$8/12))</f>
        <v/>
      </c>
      <c r="L219" s="423" t="str">
        <f t="shared" si="17"/>
        <v/>
      </c>
      <c r="M219" s="423" t="str">
        <f t="shared" si="15"/>
        <v/>
      </c>
      <c r="N219" s="422"/>
      <c r="O219" s="424" t="str">
        <f>IF($B219="","",'Qredits maandlasten'!$C$8/12)</f>
        <v/>
      </c>
      <c r="P219" s="424" t="str">
        <f>IF($B219="","",'Qredits maandlasten'!$C$8/12*(POWER(1+'Qredits maandlasten'!$C$8/12,$B219-1+1)))</f>
        <v/>
      </c>
      <c r="Q219" s="424" t="str">
        <f t="shared" si="18"/>
        <v/>
      </c>
      <c r="R219" s="422"/>
      <c r="S219" s="423" t="str">
        <f t="shared" si="16"/>
        <v/>
      </c>
      <c r="T219" s="423" t="str">
        <f>IF(S219="","",J219/(POWER(1+'Qredits maandlasten'!$C$8/12,$B219-1+1)))</f>
        <v/>
      </c>
      <c r="U219" s="425" t="str">
        <f t="shared" si="19"/>
        <v/>
      </c>
      <c r="V219" s="423" t="str">
        <f>IF($B219="","",K219/(POWER(1+'Qredits maandlasten'!$C$8/12,$B219-1+1)))</f>
        <v/>
      </c>
      <c r="W219" s="422"/>
    </row>
    <row r="220" spans="1:23" s="427" customFormat="1" x14ac:dyDescent="0.2">
      <c r="A220" s="418"/>
      <c r="B220" s="419" t="str">
        <f>IF($B219="","",IF($B219+1&gt;'Qredits maandlasten'!$C$7,"",Schema!B219+1))</f>
        <v/>
      </c>
      <c r="C220" s="420" t="str">
        <f>IF($B219="","",IF($B219+1&gt;'Qredits maandlasten'!$C$7,"",EOMONTH(C219,0)+1))</f>
        <v/>
      </c>
      <c r="D220" s="418"/>
      <c r="E220" s="420" t="str">
        <f>IF($B219="","",IF($B219+1&gt;'Qredits maandlasten'!$C$7,"",F219+1))</f>
        <v/>
      </c>
      <c r="F220" s="420" t="str">
        <f>IF($B219="","",IF($B219+1&gt;'Qredits maandlasten'!$C$7,"",EOMONTH(C220,-1)))</f>
        <v/>
      </c>
      <c r="G220" s="421" t="str">
        <f>IF($B219="","",IF($B219+1&gt;'Qredits maandlasten'!$C$7,"",(_xlfn.DAYS(F220,E220)+1)/DAY(F220)))</f>
        <v/>
      </c>
      <c r="H220" s="422"/>
      <c r="I220" s="423" t="str">
        <f>IF($B219="","",IF($B219+1&gt;'Qredits maandlasten'!$C$7,"",I219-J219))</f>
        <v/>
      </c>
      <c r="J220" s="423" t="str">
        <f>IF($B219="","",IF($B219+1&gt;'Qredits maandlasten'!$C$7,"",IF(B219&lt;'Investering &amp; Financiering'!$E$52-1,0,IF('Qredits maandlasten'!$C$10="Lineair",'Qredits maandlasten'!$H$4,IF('Qredits maandlasten'!$C$10="Annuïteit",IFERROR('Qredits maandlasten'!$H$4-K220,0),0)))))</f>
        <v/>
      </c>
      <c r="K220" s="423" t="str">
        <f>IF($B219="","",IF($B219+1&gt;'Qredits maandlasten'!$C$7,"",G220*I220*'Qredits maandlasten'!$C$8/12))</f>
        <v/>
      </c>
      <c r="L220" s="423" t="str">
        <f t="shared" si="17"/>
        <v/>
      </c>
      <c r="M220" s="423" t="str">
        <f t="shared" si="15"/>
        <v/>
      </c>
      <c r="N220" s="422"/>
      <c r="O220" s="424" t="str">
        <f>IF($B220="","",'Qredits maandlasten'!$C$8/12)</f>
        <v/>
      </c>
      <c r="P220" s="424" t="str">
        <f>IF($B220="","",'Qredits maandlasten'!$C$8/12*(POWER(1+'Qredits maandlasten'!$C$8/12,$B220-1+1)))</f>
        <v/>
      </c>
      <c r="Q220" s="424" t="str">
        <f t="shared" si="18"/>
        <v/>
      </c>
      <c r="R220" s="422"/>
      <c r="S220" s="423" t="str">
        <f t="shared" si="16"/>
        <v/>
      </c>
      <c r="T220" s="423" t="str">
        <f>IF(S220="","",J220/(POWER(1+'Qredits maandlasten'!$C$8/12,$B220-1+1)))</f>
        <v/>
      </c>
      <c r="U220" s="425" t="str">
        <f t="shared" si="19"/>
        <v/>
      </c>
      <c r="V220" s="423" t="str">
        <f>IF($B220="","",K220/(POWER(1+'Qredits maandlasten'!$C$8/12,$B220-1+1)))</f>
        <v/>
      </c>
      <c r="W220" s="422"/>
    </row>
    <row r="221" spans="1:23" s="427" customFormat="1" x14ac:dyDescent="0.2">
      <c r="A221" s="418"/>
      <c r="B221" s="419" t="str">
        <f>IF($B220="","",IF($B220+1&gt;'Qredits maandlasten'!$C$7,"",Schema!B220+1))</f>
        <v/>
      </c>
      <c r="C221" s="420" t="str">
        <f>IF($B220="","",IF($B220+1&gt;'Qredits maandlasten'!$C$7,"",EOMONTH(C220,0)+1))</f>
        <v/>
      </c>
      <c r="D221" s="418"/>
      <c r="E221" s="420" t="str">
        <f>IF($B220="","",IF($B220+1&gt;'Qredits maandlasten'!$C$7,"",F220+1))</f>
        <v/>
      </c>
      <c r="F221" s="420" t="str">
        <f>IF($B220="","",IF($B220+1&gt;'Qredits maandlasten'!$C$7,"",EOMONTH(C221,-1)))</f>
        <v/>
      </c>
      <c r="G221" s="421" t="str">
        <f>IF($B220="","",IF($B220+1&gt;'Qredits maandlasten'!$C$7,"",(_xlfn.DAYS(F221,E221)+1)/DAY(F221)))</f>
        <v/>
      </c>
      <c r="H221" s="422"/>
      <c r="I221" s="423" t="str">
        <f>IF($B220="","",IF($B220+1&gt;'Qredits maandlasten'!$C$7,"",I220-J220))</f>
        <v/>
      </c>
      <c r="J221" s="423" t="str">
        <f>IF($B220="","",IF($B220+1&gt;'Qredits maandlasten'!$C$7,"",IF(B220&lt;'Investering &amp; Financiering'!$E$52-1,0,IF('Qredits maandlasten'!$C$10="Lineair",'Qredits maandlasten'!$H$4,IF('Qredits maandlasten'!$C$10="Annuïteit",IFERROR('Qredits maandlasten'!$H$4-K221,0),0)))))</f>
        <v/>
      </c>
      <c r="K221" s="423" t="str">
        <f>IF($B220="","",IF($B220+1&gt;'Qredits maandlasten'!$C$7,"",G221*I221*'Qredits maandlasten'!$C$8/12))</f>
        <v/>
      </c>
      <c r="L221" s="423" t="str">
        <f t="shared" si="17"/>
        <v/>
      </c>
      <c r="M221" s="423" t="str">
        <f t="shared" si="15"/>
        <v/>
      </c>
      <c r="N221" s="422"/>
      <c r="O221" s="424" t="str">
        <f>IF($B221="","",'Qredits maandlasten'!$C$8/12)</f>
        <v/>
      </c>
      <c r="P221" s="424" t="str">
        <f>IF($B221="","",'Qredits maandlasten'!$C$8/12*(POWER(1+'Qredits maandlasten'!$C$8/12,$B221-1+1)))</f>
        <v/>
      </c>
      <c r="Q221" s="424" t="str">
        <f t="shared" si="18"/>
        <v/>
      </c>
      <c r="R221" s="422"/>
      <c r="S221" s="423" t="str">
        <f t="shared" si="16"/>
        <v/>
      </c>
      <c r="T221" s="423" t="str">
        <f>IF(S221="","",J221/(POWER(1+'Qredits maandlasten'!$C$8/12,$B221-1+1)))</f>
        <v/>
      </c>
      <c r="U221" s="425" t="str">
        <f t="shared" si="19"/>
        <v/>
      </c>
      <c r="V221" s="423" t="str">
        <f>IF($B221="","",K221/(POWER(1+'Qredits maandlasten'!$C$8/12,$B221-1+1)))</f>
        <v/>
      </c>
      <c r="W221" s="422"/>
    </row>
    <row r="222" spans="1:23" s="427" customFormat="1" x14ac:dyDescent="0.2">
      <c r="A222" s="418"/>
      <c r="B222" s="419" t="str">
        <f>IF($B221="","",IF($B221+1&gt;'Qredits maandlasten'!$C$7,"",Schema!B221+1))</f>
        <v/>
      </c>
      <c r="C222" s="420" t="str">
        <f>IF($B221="","",IF($B221+1&gt;'Qredits maandlasten'!$C$7,"",EOMONTH(C221,0)+1))</f>
        <v/>
      </c>
      <c r="D222" s="418"/>
      <c r="E222" s="420" t="str">
        <f>IF($B221="","",IF($B221+1&gt;'Qredits maandlasten'!$C$7,"",F221+1))</f>
        <v/>
      </c>
      <c r="F222" s="420" t="str">
        <f>IF($B221="","",IF($B221+1&gt;'Qredits maandlasten'!$C$7,"",EOMONTH(C222,-1)))</f>
        <v/>
      </c>
      <c r="G222" s="421" t="str">
        <f>IF($B221="","",IF($B221+1&gt;'Qredits maandlasten'!$C$7,"",(_xlfn.DAYS(F222,E222)+1)/DAY(F222)))</f>
        <v/>
      </c>
      <c r="H222" s="422"/>
      <c r="I222" s="423" t="str">
        <f>IF($B221="","",IF($B221+1&gt;'Qredits maandlasten'!$C$7,"",I221-J221))</f>
        <v/>
      </c>
      <c r="J222" s="423" t="str">
        <f>IF($B221="","",IF($B221+1&gt;'Qredits maandlasten'!$C$7,"",IF(B221&lt;'Investering &amp; Financiering'!$E$52-1,0,IF('Qredits maandlasten'!$C$10="Lineair",'Qredits maandlasten'!$H$4,IF('Qredits maandlasten'!$C$10="Annuïteit",IFERROR('Qredits maandlasten'!$H$4-K222,0),0)))))</f>
        <v/>
      </c>
      <c r="K222" s="423" t="str">
        <f>IF($B221="","",IF($B221+1&gt;'Qredits maandlasten'!$C$7,"",G222*I222*'Qredits maandlasten'!$C$8/12))</f>
        <v/>
      </c>
      <c r="L222" s="423" t="str">
        <f t="shared" si="17"/>
        <v/>
      </c>
      <c r="M222" s="423" t="str">
        <f t="shared" si="15"/>
        <v/>
      </c>
      <c r="N222" s="422"/>
      <c r="O222" s="424" t="str">
        <f>IF($B222="","",'Qredits maandlasten'!$C$8/12)</f>
        <v/>
      </c>
      <c r="P222" s="424" t="str">
        <f>IF($B222="","",'Qredits maandlasten'!$C$8/12*(POWER(1+'Qredits maandlasten'!$C$8/12,$B222-1+1)))</f>
        <v/>
      </c>
      <c r="Q222" s="424" t="str">
        <f t="shared" si="18"/>
        <v/>
      </c>
      <c r="R222" s="422"/>
      <c r="S222" s="423" t="str">
        <f t="shared" si="16"/>
        <v/>
      </c>
      <c r="T222" s="423" t="str">
        <f>IF(S222="","",J222/(POWER(1+'Qredits maandlasten'!$C$8/12,$B222-1+1)))</f>
        <v/>
      </c>
      <c r="U222" s="425" t="str">
        <f t="shared" si="19"/>
        <v/>
      </c>
      <c r="V222" s="423" t="str">
        <f>IF($B222="","",K222/(POWER(1+'Qredits maandlasten'!$C$8/12,$B222-1+1)))</f>
        <v/>
      </c>
      <c r="W222" s="422"/>
    </row>
    <row r="223" spans="1:23" s="427" customFormat="1" x14ac:dyDescent="0.2">
      <c r="A223" s="418"/>
      <c r="B223" s="419" t="str">
        <f>IF($B222="","",IF($B222+1&gt;'Qredits maandlasten'!$C$7,"",Schema!B222+1))</f>
        <v/>
      </c>
      <c r="C223" s="420" t="str">
        <f>IF($B222="","",IF($B222+1&gt;'Qredits maandlasten'!$C$7,"",EOMONTH(C222,0)+1))</f>
        <v/>
      </c>
      <c r="D223" s="418"/>
      <c r="E223" s="420" t="str">
        <f>IF($B222="","",IF($B222+1&gt;'Qredits maandlasten'!$C$7,"",F222+1))</f>
        <v/>
      </c>
      <c r="F223" s="420" t="str">
        <f>IF($B222="","",IF($B222+1&gt;'Qredits maandlasten'!$C$7,"",EOMONTH(C223,-1)))</f>
        <v/>
      </c>
      <c r="G223" s="421" t="str">
        <f>IF($B222="","",IF($B222+1&gt;'Qredits maandlasten'!$C$7,"",(_xlfn.DAYS(F223,E223)+1)/DAY(F223)))</f>
        <v/>
      </c>
      <c r="H223" s="422"/>
      <c r="I223" s="423" t="str">
        <f>IF($B222="","",IF($B222+1&gt;'Qredits maandlasten'!$C$7,"",I222-J222))</f>
        <v/>
      </c>
      <c r="J223" s="423" t="str">
        <f>IF($B222="","",IF($B222+1&gt;'Qredits maandlasten'!$C$7,"",IF(B222&lt;'Investering &amp; Financiering'!$E$52-1,0,IF('Qredits maandlasten'!$C$10="Lineair",'Qredits maandlasten'!$H$4,IF('Qredits maandlasten'!$C$10="Annuïteit",IFERROR('Qredits maandlasten'!$H$4-K223,0),0)))))</f>
        <v/>
      </c>
      <c r="K223" s="423" t="str">
        <f>IF($B222="","",IF($B222+1&gt;'Qredits maandlasten'!$C$7,"",G223*I223*'Qredits maandlasten'!$C$8/12))</f>
        <v/>
      </c>
      <c r="L223" s="423" t="str">
        <f t="shared" si="17"/>
        <v/>
      </c>
      <c r="M223" s="423" t="str">
        <f t="shared" si="15"/>
        <v/>
      </c>
      <c r="N223" s="422"/>
      <c r="O223" s="424" t="str">
        <f>IF($B223="","",'Qredits maandlasten'!$C$8/12)</f>
        <v/>
      </c>
      <c r="P223" s="424" t="str">
        <f>IF($B223="","",'Qredits maandlasten'!$C$8/12*(POWER(1+'Qredits maandlasten'!$C$8/12,$B223-1+1)))</f>
        <v/>
      </c>
      <c r="Q223" s="424" t="str">
        <f t="shared" si="18"/>
        <v/>
      </c>
      <c r="R223" s="422"/>
      <c r="S223" s="423" t="str">
        <f t="shared" si="16"/>
        <v/>
      </c>
      <c r="T223" s="423" t="str">
        <f>IF(S223="","",J223/(POWER(1+'Qredits maandlasten'!$C$8/12,$B223-1+1)))</f>
        <v/>
      </c>
      <c r="U223" s="425" t="str">
        <f t="shared" si="19"/>
        <v/>
      </c>
      <c r="V223" s="423" t="str">
        <f>IF($B223="","",K223/(POWER(1+'Qredits maandlasten'!$C$8/12,$B223-1+1)))</f>
        <v/>
      </c>
      <c r="W223" s="422"/>
    </row>
    <row r="224" spans="1:23" s="427" customFormat="1" x14ac:dyDescent="0.2">
      <c r="A224" s="418"/>
      <c r="B224" s="419" t="str">
        <f>IF($B223="","",IF($B223+1&gt;'Qredits maandlasten'!$C$7,"",Schema!B223+1))</f>
        <v/>
      </c>
      <c r="C224" s="420" t="str">
        <f>IF($B223="","",IF($B223+1&gt;'Qredits maandlasten'!$C$7,"",EOMONTH(C223,0)+1))</f>
        <v/>
      </c>
      <c r="D224" s="418"/>
      <c r="E224" s="420" t="str">
        <f>IF($B223="","",IF($B223+1&gt;'Qredits maandlasten'!$C$7,"",F223+1))</f>
        <v/>
      </c>
      <c r="F224" s="420" t="str">
        <f>IF($B223="","",IF($B223+1&gt;'Qredits maandlasten'!$C$7,"",EOMONTH(C224,-1)))</f>
        <v/>
      </c>
      <c r="G224" s="421" t="str">
        <f>IF($B223="","",IF($B223+1&gt;'Qredits maandlasten'!$C$7,"",(_xlfn.DAYS(F224,E224)+1)/DAY(F224)))</f>
        <v/>
      </c>
      <c r="H224" s="422"/>
      <c r="I224" s="423" t="str">
        <f>IF($B223="","",IF($B223+1&gt;'Qredits maandlasten'!$C$7,"",I223-J223))</f>
        <v/>
      </c>
      <c r="J224" s="423" t="str">
        <f>IF($B223="","",IF($B223+1&gt;'Qredits maandlasten'!$C$7,"",IF(B223&lt;'Investering &amp; Financiering'!$E$52-1,0,IF('Qredits maandlasten'!$C$10="Lineair",'Qredits maandlasten'!$H$4,IF('Qredits maandlasten'!$C$10="Annuïteit",IFERROR('Qredits maandlasten'!$H$4-K224,0),0)))))</f>
        <v/>
      </c>
      <c r="K224" s="423" t="str">
        <f>IF($B223="","",IF($B223+1&gt;'Qredits maandlasten'!$C$7,"",G224*I224*'Qredits maandlasten'!$C$8/12))</f>
        <v/>
      </c>
      <c r="L224" s="423" t="str">
        <f t="shared" si="17"/>
        <v/>
      </c>
      <c r="M224" s="423" t="str">
        <f t="shared" si="15"/>
        <v/>
      </c>
      <c r="N224" s="422"/>
      <c r="O224" s="424" t="str">
        <f>IF($B224="","",'Qredits maandlasten'!$C$8/12)</f>
        <v/>
      </c>
      <c r="P224" s="424" t="str">
        <f>IF($B224="","",'Qredits maandlasten'!$C$8/12*(POWER(1+'Qredits maandlasten'!$C$8/12,$B224-1+1)))</f>
        <v/>
      </c>
      <c r="Q224" s="424" t="str">
        <f t="shared" si="18"/>
        <v/>
      </c>
      <c r="R224" s="422"/>
      <c r="S224" s="423" t="str">
        <f t="shared" si="16"/>
        <v/>
      </c>
      <c r="T224" s="423" t="str">
        <f>IF(S224="","",J224/(POWER(1+'Qredits maandlasten'!$C$8/12,$B224-1+1)))</f>
        <v/>
      </c>
      <c r="U224" s="425" t="str">
        <f t="shared" si="19"/>
        <v/>
      </c>
      <c r="V224" s="423" t="str">
        <f>IF($B224="","",K224/(POWER(1+'Qredits maandlasten'!$C$8/12,$B224-1+1)))</f>
        <v/>
      </c>
      <c r="W224" s="422"/>
    </row>
    <row r="225" spans="1:23" s="427" customFormat="1" x14ac:dyDescent="0.2">
      <c r="A225" s="418"/>
      <c r="B225" s="419" t="str">
        <f>IF($B224="","",IF($B224+1&gt;'Qredits maandlasten'!$C$7,"",Schema!B224+1))</f>
        <v/>
      </c>
      <c r="C225" s="420" t="str">
        <f>IF($B224="","",IF($B224+1&gt;'Qredits maandlasten'!$C$7,"",EOMONTH(C224,0)+1))</f>
        <v/>
      </c>
      <c r="D225" s="418"/>
      <c r="E225" s="420" t="str">
        <f>IF($B224="","",IF($B224+1&gt;'Qredits maandlasten'!$C$7,"",F224+1))</f>
        <v/>
      </c>
      <c r="F225" s="420" t="str">
        <f>IF($B224="","",IF($B224+1&gt;'Qredits maandlasten'!$C$7,"",EOMONTH(C225,-1)))</f>
        <v/>
      </c>
      <c r="G225" s="421" t="str">
        <f>IF($B224="","",IF($B224+1&gt;'Qredits maandlasten'!$C$7,"",(_xlfn.DAYS(F225,E225)+1)/DAY(F225)))</f>
        <v/>
      </c>
      <c r="H225" s="422"/>
      <c r="I225" s="423" t="str">
        <f>IF($B224="","",IF($B224+1&gt;'Qredits maandlasten'!$C$7,"",I224-J224))</f>
        <v/>
      </c>
      <c r="J225" s="423" t="str">
        <f>IF($B224="","",IF($B224+1&gt;'Qredits maandlasten'!$C$7,"",IF(B224&lt;'Investering &amp; Financiering'!$E$52-1,0,IF('Qredits maandlasten'!$C$10="Lineair",'Qredits maandlasten'!$H$4,IF('Qredits maandlasten'!$C$10="Annuïteit",IFERROR('Qredits maandlasten'!$H$4-K225,0),0)))))</f>
        <v/>
      </c>
      <c r="K225" s="423" t="str">
        <f>IF($B224="","",IF($B224+1&gt;'Qredits maandlasten'!$C$7,"",G225*I225*'Qredits maandlasten'!$C$8/12))</f>
        <v/>
      </c>
      <c r="L225" s="423" t="str">
        <f t="shared" si="17"/>
        <v/>
      </c>
      <c r="M225" s="423" t="str">
        <f t="shared" si="15"/>
        <v/>
      </c>
      <c r="N225" s="422"/>
      <c r="O225" s="424" t="str">
        <f>IF($B225="","",'Qredits maandlasten'!$C$8/12)</f>
        <v/>
      </c>
      <c r="P225" s="424" t="str">
        <f>IF($B225="","",'Qredits maandlasten'!$C$8/12*(POWER(1+'Qredits maandlasten'!$C$8/12,$B225-1+1)))</f>
        <v/>
      </c>
      <c r="Q225" s="424" t="str">
        <f t="shared" si="18"/>
        <v/>
      </c>
      <c r="R225" s="422"/>
      <c r="S225" s="423" t="str">
        <f t="shared" si="16"/>
        <v/>
      </c>
      <c r="T225" s="423" t="str">
        <f>IF(S225="","",J225/(POWER(1+'Qredits maandlasten'!$C$8/12,$B225-1+1)))</f>
        <v/>
      </c>
      <c r="U225" s="425" t="str">
        <f t="shared" si="19"/>
        <v/>
      </c>
      <c r="V225" s="423" t="str">
        <f>IF($B225="","",K225/(POWER(1+'Qredits maandlasten'!$C$8/12,$B225-1+1)))</f>
        <v/>
      </c>
      <c r="W225" s="422"/>
    </row>
    <row r="226" spans="1:23" s="427" customFormat="1" x14ac:dyDescent="0.2">
      <c r="A226" s="418"/>
      <c r="B226" s="419" t="str">
        <f>IF($B225="","",IF($B225+1&gt;'Qredits maandlasten'!$C$7,"",Schema!B225+1))</f>
        <v/>
      </c>
      <c r="C226" s="420" t="str">
        <f>IF($B225="","",IF($B225+1&gt;'Qredits maandlasten'!$C$7,"",EOMONTH(C225,0)+1))</f>
        <v/>
      </c>
      <c r="D226" s="418"/>
      <c r="E226" s="420" t="str">
        <f>IF($B225="","",IF($B225+1&gt;'Qredits maandlasten'!$C$7,"",F225+1))</f>
        <v/>
      </c>
      <c r="F226" s="420" t="str">
        <f>IF($B225="","",IF($B225+1&gt;'Qredits maandlasten'!$C$7,"",EOMONTH(C226,-1)))</f>
        <v/>
      </c>
      <c r="G226" s="421" t="str">
        <f>IF($B225="","",IF($B225+1&gt;'Qredits maandlasten'!$C$7,"",(_xlfn.DAYS(F226,E226)+1)/DAY(F226)))</f>
        <v/>
      </c>
      <c r="H226" s="422"/>
      <c r="I226" s="423" t="str">
        <f>IF($B225="","",IF($B225+1&gt;'Qredits maandlasten'!$C$7,"",I225-J225))</f>
        <v/>
      </c>
      <c r="J226" s="423" t="str">
        <f>IF($B225="","",IF($B225+1&gt;'Qredits maandlasten'!$C$7,"",IF(B225&lt;'Investering &amp; Financiering'!$E$52-1,0,IF('Qredits maandlasten'!$C$10="Lineair",'Qredits maandlasten'!$H$4,IF('Qredits maandlasten'!$C$10="Annuïteit",IFERROR('Qredits maandlasten'!$H$4-K226,0),0)))))</f>
        <v/>
      </c>
      <c r="K226" s="423" t="str">
        <f>IF($B225="","",IF($B225+1&gt;'Qredits maandlasten'!$C$7,"",G226*I226*'Qredits maandlasten'!$C$8/12))</f>
        <v/>
      </c>
      <c r="L226" s="423" t="str">
        <f t="shared" si="17"/>
        <v/>
      </c>
      <c r="M226" s="423" t="str">
        <f t="shared" si="15"/>
        <v/>
      </c>
      <c r="N226" s="422"/>
      <c r="O226" s="424" t="str">
        <f>IF($B226="","",'Qredits maandlasten'!$C$8/12)</f>
        <v/>
      </c>
      <c r="P226" s="424" t="str">
        <f>IF($B226="","",'Qredits maandlasten'!$C$8/12*(POWER(1+'Qredits maandlasten'!$C$8/12,$B226-1+1)))</f>
        <v/>
      </c>
      <c r="Q226" s="424" t="str">
        <f t="shared" si="18"/>
        <v/>
      </c>
      <c r="R226" s="422"/>
      <c r="S226" s="423" t="str">
        <f t="shared" si="16"/>
        <v/>
      </c>
      <c r="T226" s="423" t="str">
        <f>IF(S226="","",J226/(POWER(1+'Qredits maandlasten'!$C$8/12,$B226-1+1)))</f>
        <v/>
      </c>
      <c r="U226" s="425" t="str">
        <f t="shared" si="19"/>
        <v/>
      </c>
      <c r="V226" s="423" t="str">
        <f>IF($B226="","",K226/(POWER(1+'Qredits maandlasten'!$C$8/12,$B226-1+1)))</f>
        <v/>
      </c>
      <c r="W226" s="422"/>
    </row>
    <row r="227" spans="1:23" s="427" customFormat="1" x14ac:dyDescent="0.2">
      <c r="A227" s="418"/>
      <c r="B227" s="419" t="str">
        <f>IF($B226="","",IF($B226+1&gt;'Qredits maandlasten'!$C$7,"",Schema!B226+1))</f>
        <v/>
      </c>
      <c r="C227" s="420" t="str">
        <f>IF($B226="","",IF($B226+1&gt;'Qredits maandlasten'!$C$7,"",EOMONTH(C226,0)+1))</f>
        <v/>
      </c>
      <c r="D227" s="418"/>
      <c r="E227" s="420" t="str">
        <f>IF($B226="","",IF($B226+1&gt;'Qredits maandlasten'!$C$7,"",F226+1))</f>
        <v/>
      </c>
      <c r="F227" s="420" t="str">
        <f>IF($B226="","",IF($B226+1&gt;'Qredits maandlasten'!$C$7,"",EOMONTH(C227,-1)))</f>
        <v/>
      </c>
      <c r="G227" s="421" t="str">
        <f>IF($B226="","",IF($B226+1&gt;'Qredits maandlasten'!$C$7,"",(_xlfn.DAYS(F227,E227)+1)/DAY(F227)))</f>
        <v/>
      </c>
      <c r="H227" s="422"/>
      <c r="I227" s="423" t="str">
        <f>IF($B226="","",IF($B226+1&gt;'Qredits maandlasten'!$C$7,"",I226-J226))</f>
        <v/>
      </c>
      <c r="J227" s="423" t="str">
        <f>IF($B226="","",IF($B226+1&gt;'Qredits maandlasten'!$C$7,"",IF(B226&lt;'Investering &amp; Financiering'!$E$52-1,0,IF('Qredits maandlasten'!$C$10="Lineair",'Qredits maandlasten'!$H$4,IF('Qredits maandlasten'!$C$10="Annuïteit",IFERROR('Qredits maandlasten'!$H$4-K227,0),0)))))</f>
        <v/>
      </c>
      <c r="K227" s="423" t="str">
        <f>IF($B226="","",IF($B226+1&gt;'Qredits maandlasten'!$C$7,"",G227*I227*'Qredits maandlasten'!$C$8/12))</f>
        <v/>
      </c>
      <c r="L227" s="423" t="str">
        <f t="shared" si="17"/>
        <v/>
      </c>
      <c r="M227" s="423" t="str">
        <f t="shared" si="15"/>
        <v/>
      </c>
      <c r="N227" s="422"/>
      <c r="O227" s="424" t="str">
        <f>IF($B227="","",'Qredits maandlasten'!$C$8/12)</f>
        <v/>
      </c>
      <c r="P227" s="424" t="str">
        <f>IF($B227="","",'Qredits maandlasten'!$C$8/12*(POWER(1+'Qredits maandlasten'!$C$8/12,$B227-1+1)))</f>
        <v/>
      </c>
      <c r="Q227" s="424" t="str">
        <f t="shared" si="18"/>
        <v/>
      </c>
      <c r="R227" s="422"/>
      <c r="S227" s="423" t="str">
        <f t="shared" si="16"/>
        <v/>
      </c>
      <c r="T227" s="423" t="str">
        <f>IF(S227="","",J227/(POWER(1+'Qredits maandlasten'!$C$8/12,$B227-1+1)))</f>
        <v/>
      </c>
      <c r="U227" s="425" t="str">
        <f t="shared" si="19"/>
        <v/>
      </c>
      <c r="V227" s="423" t="str">
        <f>IF($B227="","",K227/(POWER(1+'Qredits maandlasten'!$C$8/12,$B227-1+1)))</f>
        <v/>
      </c>
      <c r="W227" s="422"/>
    </row>
    <row r="228" spans="1:23" s="427" customFormat="1" x14ac:dyDescent="0.2">
      <c r="A228" s="418"/>
      <c r="B228" s="419" t="str">
        <f>IF($B227="","",IF($B227+1&gt;'Qredits maandlasten'!$C$7,"",Schema!B227+1))</f>
        <v/>
      </c>
      <c r="C228" s="420" t="str">
        <f>IF($B227="","",IF($B227+1&gt;'Qredits maandlasten'!$C$7,"",EOMONTH(C227,0)+1))</f>
        <v/>
      </c>
      <c r="D228" s="418"/>
      <c r="E228" s="420" t="str">
        <f>IF($B227="","",IF($B227+1&gt;'Qredits maandlasten'!$C$7,"",F227+1))</f>
        <v/>
      </c>
      <c r="F228" s="420" t="str">
        <f>IF($B227="","",IF($B227+1&gt;'Qredits maandlasten'!$C$7,"",EOMONTH(C228,-1)))</f>
        <v/>
      </c>
      <c r="G228" s="421" t="str">
        <f>IF($B227="","",IF($B227+1&gt;'Qredits maandlasten'!$C$7,"",(_xlfn.DAYS(F228,E228)+1)/DAY(F228)))</f>
        <v/>
      </c>
      <c r="H228" s="422"/>
      <c r="I228" s="423" t="str">
        <f>IF($B227="","",IF($B227+1&gt;'Qredits maandlasten'!$C$7,"",I227-J227))</f>
        <v/>
      </c>
      <c r="J228" s="423" t="str">
        <f>IF($B227="","",IF($B227+1&gt;'Qredits maandlasten'!$C$7,"",IF(B227&lt;'Investering &amp; Financiering'!$E$52-1,0,IF('Qredits maandlasten'!$C$10="Lineair",'Qredits maandlasten'!$H$4,IF('Qredits maandlasten'!$C$10="Annuïteit",IFERROR('Qredits maandlasten'!$H$4-K228,0),0)))))</f>
        <v/>
      </c>
      <c r="K228" s="423" t="str">
        <f>IF($B227="","",IF($B227+1&gt;'Qredits maandlasten'!$C$7,"",G228*I228*'Qredits maandlasten'!$C$8/12))</f>
        <v/>
      </c>
      <c r="L228" s="423" t="str">
        <f t="shared" si="17"/>
        <v/>
      </c>
      <c r="M228" s="423" t="str">
        <f t="shared" si="15"/>
        <v/>
      </c>
      <c r="N228" s="422"/>
      <c r="O228" s="424" t="str">
        <f>IF($B228="","",'Qredits maandlasten'!$C$8/12)</f>
        <v/>
      </c>
      <c r="P228" s="424" t="str">
        <f>IF($B228="","",'Qredits maandlasten'!$C$8/12*(POWER(1+'Qredits maandlasten'!$C$8/12,$B228-1+1)))</f>
        <v/>
      </c>
      <c r="Q228" s="424" t="str">
        <f t="shared" si="18"/>
        <v/>
      </c>
      <c r="R228" s="422"/>
      <c r="S228" s="423" t="str">
        <f t="shared" si="16"/>
        <v/>
      </c>
      <c r="T228" s="423" t="str">
        <f>IF(S228="","",J228/(POWER(1+'Qredits maandlasten'!$C$8/12,$B228-1+1)))</f>
        <v/>
      </c>
      <c r="U228" s="425" t="str">
        <f t="shared" si="19"/>
        <v/>
      </c>
      <c r="V228" s="423" t="str">
        <f>IF($B228="","",K228/(POWER(1+'Qredits maandlasten'!$C$8/12,$B228-1+1)))</f>
        <v/>
      </c>
      <c r="W228" s="422"/>
    </row>
    <row r="229" spans="1:23" s="427" customFormat="1" x14ac:dyDescent="0.2">
      <c r="A229" s="418"/>
      <c r="B229" s="419" t="str">
        <f>IF($B228="","",IF($B228+1&gt;'Qredits maandlasten'!$C$7,"",Schema!B228+1))</f>
        <v/>
      </c>
      <c r="C229" s="420" t="str">
        <f>IF($B228="","",IF($B228+1&gt;'Qredits maandlasten'!$C$7,"",EOMONTH(C228,0)+1))</f>
        <v/>
      </c>
      <c r="D229" s="418"/>
      <c r="E229" s="420" t="str">
        <f>IF($B228="","",IF($B228+1&gt;'Qredits maandlasten'!$C$7,"",F228+1))</f>
        <v/>
      </c>
      <c r="F229" s="420" t="str">
        <f>IF($B228="","",IF($B228+1&gt;'Qredits maandlasten'!$C$7,"",EOMONTH(C229,-1)))</f>
        <v/>
      </c>
      <c r="G229" s="421" t="str">
        <f>IF($B228="","",IF($B228+1&gt;'Qredits maandlasten'!$C$7,"",(_xlfn.DAYS(F229,E229)+1)/DAY(F229)))</f>
        <v/>
      </c>
      <c r="H229" s="422"/>
      <c r="I229" s="423" t="str">
        <f>IF($B228="","",IF($B228+1&gt;'Qredits maandlasten'!$C$7,"",I228-J228))</f>
        <v/>
      </c>
      <c r="J229" s="423" t="str">
        <f>IF($B228="","",IF($B228+1&gt;'Qredits maandlasten'!$C$7,"",IF(B228&lt;'Investering &amp; Financiering'!$E$52-1,0,IF('Qredits maandlasten'!$C$10="Lineair",'Qredits maandlasten'!$H$4,IF('Qredits maandlasten'!$C$10="Annuïteit",IFERROR('Qredits maandlasten'!$H$4-K229,0),0)))))</f>
        <v/>
      </c>
      <c r="K229" s="423" t="str">
        <f>IF($B228="","",IF($B228+1&gt;'Qredits maandlasten'!$C$7,"",G229*I229*'Qredits maandlasten'!$C$8/12))</f>
        <v/>
      </c>
      <c r="L229" s="423" t="str">
        <f t="shared" si="17"/>
        <v/>
      </c>
      <c r="M229" s="423" t="str">
        <f t="shared" si="15"/>
        <v/>
      </c>
      <c r="N229" s="422"/>
      <c r="O229" s="424" t="str">
        <f>IF($B229="","",'Qredits maandlasten'!$C$8/12)</f>
        <v/>
      </c>
      <c r="P229" s="424" t="str">
        <f>IF($B229="","",'Qredits maandlasten'!$C$8/12*(POWER(1+'Qredits maandlasten'!$C$8/12,$B229-1+1)))</f>
        <v/>
      </c>
      <c r="Q229" s="424" t="str">
        <f t="shared" si="18"/>
        <v/>
      </c>
      <c r="R229" s="422"/>
      <c r="S229" s="423" t="str">
        <f t="shared" si="16"/>
        <v/>
      </c>
      <c r="T229" s="423" t="str">
        <f>IF(S229="","",J229/(POWER(1+'Qredits maandlasten'!$C$8/12,$B229-1+1)))</f>
        <v/>
      </c>
      <c r="U229" s="425" t="str">
        <f t="shared" si="19"/>
        <v/>
      </c>
      <c r="V229" s="423" t="str">
        <f>IF($B229="","",K229/(POWER(1+'Qredits maandlasten'!$C$8/12,$B229-1+1)))</f>
        <v/>
      </c>
      <c r="W229" s="422"/>
    </row>
    <row r="230" spans="1:23" s="427" customFormat="1" x14ac:dyDescent="0.2">
      <c r="A230" s="418"/>
      <c r="B230" s="419" t="str">
        <f>IF($B229="","",IF($B229+1&gt;'Qredits maandlasten'!$C$7,"",Schema!B229+1))</f>
        <v/>
      </c>
      <c r="C230" s="420" t="str">
        <f>IF($B229="","",IF($B229+1&gt;'Qredits maandlasten'!$C$7,"",EOMONTH(C229,0)+1))</f>
        <v/>
      </c>
      <c r="D230" s="418"/>
      <c r="E230" s="420" t="str">
        <f>IF($B229="","",IF($B229+1&gt;'Qredits maandlasten'!$C$7,"",F229+1))</f>
        <v/>
      </c>
      <c r="F230" s="420" t="str">
        <f>IF($B229="","",IF($B229+1&gt;'Qredits maandlasten'!$C$7,"",EOMONTH(C230,-1)))</f>
        <v/>
      </c>
      <c r="G230" s="421" t="str">
        <f>IF($B229="","",IF($B229+1&gt;'Qredits maandlasten'!$C$7,"",(_xlfn.DAYS(F230,E230)+1)/DAY(F230)))</f>
        <v/>
      </c>
      <c r="H230" s="422"/>
      <c r="I230" s="423" t="str">
        <f>IF($B229="","",IF($B229+1&gt;'Qredits maandlasten'!$C$7,"",I229-J229))</f>
        <v/>
      </c>
      <c r="J230" s="423" t="str">
        <f>IF($B229="","",IF($B229+1&gt;'Qredits maandlasten'!$C$7,"",IF(B229&lt;'Investering &amp; Financiering'!$E$52-1,0,IF('Qredits maandlasten'!$C$10="Lineair",'Qredits maandlasten'!$H$4,IF('Qredits maandlasten'!$C$10="Annuïteit",IFERROR('Qredits maandlasten'!$H$4-K230,0),0)))))</f>
        <v/>
      </c>
      <c r="K230" s="423" t="str">
        <f>IF($B229="","",IF($B229+1&gt;'Qredits maandlasten'!$C$7,"",G230*I230*'Qredits maandlasten'!$C$8/12))</f>
        <v/>
      </c>
      <c r="L230" s="423" t="str">
        <f t="shared" si="17"/>
        <v/>
      </c>
      <c r="M230" s="423" t="str">
        <f t="shared" si="15"/>
        <v/>
      </c>
      <c r="N230" s="422"/>
      <c r="O230" s="424" t="str">
        <f>IF($B230="","",'Qredits maandlasten'!$C$8/12)</f>
        <v/>
      </c>
      <c r="P230" s="424" t="str">
        <f>IF($B230="","",'Qredits maandlasten'!$C$8/12*(POWER(1+'Qredits maandlasten'!$C$8/12,$B230-1+1)))</f>
        <v/>
      </c>
      <c r="Q230" s="424" t="str">
        <f t="shared" si="18"/>
        <v/>
      </c>
      <c r="R230" s="422"/>
      <c r="S230" s="423" t="str">
        <f t="shared" si="16"/>
        <v/>
      </c>
      <c r="T230" s="423" t="str">
        <f>IF(S230="","",J230/(POWER(1+'Qredits maandlasten'!$C$8/12,$B230-1+1)))</f>
        <v/>
      </c>
      <c r="U230" s="425" t="str">
        <f t="shared" si="19"/>
        <v/>
      </c>
      <c r="V230" s="423" t="str">
        <f>IF($B230="","",K230/(POWER(1+'Qredits maandlasten'!$C$8/12,$B230-1+1)))</f>
        <v/>
      </c>
      <c r="W230" s="422"/>
    </row>
    <row r="231" spans="1:23" s="427" customFormat="1" x14ac:dyDescent="0.2">
      <c r="A231" s="418"/>
      <c r="B231" s="419" t="str">
        <f>IF($B230="","",IF($B230+1&gt;'Qredits maandlasten'!$C$7,"",Schema!B230+1))</f>
        <v/>
      </c>
      <c r="C231" s="420" t="str">
        <f>IF($B230="","",IF($B230+1&gt;'Qredits maandlasten'!$C$7,"",EOMONTH(C230,0)+1))</f>
        <v/>
      </c>
      <c r="D231" s="418"/>
      <c r="E231" s="420" t="str">
        <f>IF($B230="","",IF($B230+1&gt;'Qredits maandlasten'!$C$7,"",F230+1))</f>
        <v/>
      </c>
      <c r="F231" s="420" t="str">
        <f>IF($B230="","",IF($B230+1&gt;'Qredits maandlasten'!$C$7,"",EOMONTH(C231,-1)))</f>
        <v/>
      </c>
      <c r="G231" s="421" t="str">
        <f>IF($B230="","",IF($B230+1&gt;'Qredits maandlasten'!$C$7,"",(_xlfn.DAYS(F231,E231)+1)/DAY(F231)))</f>
        <v/>
      </c>
      <c r="H231" s="422"/>
      <c r="I231" s="423" t="str">
        <f>IF($B230="","",IF($B230+1&gt;'Qredits maandlasten'!$C$7,"",I230-J230))</f>
        <v/>
      </c>
      <c r="J231" s="423" t="str">
        <f>IF($B230="","",IF($B230+1&gt;'Qredits maandlasten'!$C$7,"",IF(B230&lt;'Investering &amp; Financiering'!$E$52-1,0,IF('Qredits maandlasten'!$C$10="Lineair",'Qredits maandlasten'!$H$4,IF('Qredits maandlasten'!$C$10="Annuïteit",IFERROR('Qredits maandlasten'!$H$4-K231,0),0)))))</f>
        <v/>
      </c>
      <c r="K231" s="423" t="str">
        <f>IF($B230="","",IF($B230+1&gt;'Qredits maandlasten'!$C$7,"",G231*I231*'Qredits maandlasten'!$C$8/12))</f>
        <v/>
      </c>
      <c r="L231" s="423" t="str">
        <f t="shared" si="17"/>
        <v/>
      </c>
      <c r="M231" s="423" t="str">
        <f t="shared" si="15"/>
        <v/>
      </c>
      <c r="N231" s="422"/>
      <c r="O231" s="424" t="str">
        <f>IF($B231="","",'Qredits maandlasten'!$C$8/12)</f>
        <v/>
      </c>
      <c r="P231" s="424" t="str">
        <f>IF($B231="","",'Qredits maandlasten'!$C$8/12*(POWER(1+'Qredits maandlasten'!$C$8/12,$B231-1+1)))</f>
        <v/>
      </c>
      <c r="Q231" s="424" t="str">
        <f t="shared" si="18"/>
        <v/>
      </c>
      <c r="R231" s="422"/>
      <c r="S231" s="423" t="str">
        <f t="shared" si="16"/>
        <v/>
      </c>
      <c r="T231" s="423" t="str">
        <f>IF(S231="","",J231/(POWER(1+'Qredits maandlasten'!$C$8/12,$B231-1+1)))</f>
        <v/>
      </c>
      <c r="U231" s="425" t="str">
        <f t="shared" si="19"/>
        <v/>
      </c>
      <c r="V231" s="423" t="str">
        <f>IF($B231="","",K231/(POWER(1+'Qredits maandlasten'!$C$8/12,$B231-1+1)))</f>
        <v/>
      </c>
      <c r="W231" s="422"/>
    </row>
    <row r="232" spans="1:23" s="427" customFormat="1" x14ac:dyDescent="0.2">
      <c r="A232" s="418"/>
      <c r="B232" s="419" t="str">
        <f>IF($B231="","",IF($B231+1&gt;'Qredits maandlasten'!$C$7,"",Schema!B231+1))</f>
        <v/>
      </c>
      <c r="C232" s="420" t="str">
        <f>IF($B231="","",IF($B231+1&gt;'Qredits maandlasten'!$C$7,"",EOMONTH(C231,0)+1))</f>
        <v/>
      </c>
      <c r="D232" s="418"/>
      <c r="E232" s="420" t="str">
        <f>IF($B231="","",IF($B231+1&gt;'Qredits maandlasten'!$C$7,"",F231+1))</f>
        <v/>
      </c>
      <c r="F232" s="420" t="str">
        <f>IF($B231="","",IF($B231+1&gt;'Qredits maandlasten'!$C$7,"",EOMONTH(C232,-1)))</f>
        <v/>
      </c>
      <c r="G232" s="421" t="str">
        <f>IF($B231="","",IF($B231+1&gt;'Qredits maandlasten'!$C$7,"",(_xlfn.DAYS(F232,E232)+1)/DAY(F232)))</f>
        <v/>
      </c>
      <c r="H232" s="422"/>
      <c r="I232" s="423" t="str">
        <f>IF($B231="","",IF($B231+1&gt;'Qredits maandlasten'!$C$7,"",I231-J231))</f>
        <v/>
      </c>
      <c r="J232" s="423" t="str">
        <f>IF($B231="","",IF($B231+1&gt;'Qredits maandlasten'!$C$7,"",IF(B231&lt;'Investering &amp; Financiering'!$E$52-1,0,IF('Qredits maandlasten'!$C$10="Lineair",'Qredits maandlasten'!$H$4,IF('Qredits maandlasten'!$C$10="Annuïteit",IFERROR('Qredits maandlasten'!$H$4-K232,0),0)))))</f>
        <v/>
      </c>
      <c r="K232" s="423" t="str">
        <f>IF($B231="","",IF($B231+1&gt;'Qredits maandlasten'!$C$7,"",G232*I232*'Qredits maandlasten'!$C$8/12))</f>
        <v/>
      </c>
      <c r="L232" s="423" t="str">
        <f t="shared" si="17"/>
        <v/>
      </c>
      <c r="M232" s="423" t="str">
        <f t="shared" si="15"/>
        <v/>
      </c>
      <c r="N232" s="422"/>
      <c r="O232" s="424" t="str">
        <f>IF($B232="","",'Qredits maandlasten'!$C$8/12)</f>
        <v/>
      </c>
      <c r="P232" s="424" t="str">
        <f>IF($B232="","",'Qredits maandlasten'!$C$8/12*(POWER(1+'Qredits maandlasten'!$C$8/12,$B232-1+1)))</f>
        <v/>
      </c>
      <c r="Q232" s="424" t="str">
        <f t="shared" si="18"/>
        <v/>
      </c>
      <c r="R232" s="422"/>
      <c r="S232" s="423" t="str">
        <f t="shared" si="16"/>
        <v/>
      </c>
      <c r="T232" s="423" t="str">
        <f>IF(S232="","",J232/(POWER(1+'Qredits maandlasten'!$C$8/12,$B232-1+1)))</f>
        <v/>
      </c>
      <c r="U232" s="425" t="str">
        <f t="shared" si="19"/>
        <v/>
      </c>
      <c r="V232" s="423" t="str">
        <f>IF($B232="","",K232/(POWER(1+'Qredits maandlasten'!$C$8/12,$B232-1+1)))</f>
        <v/>
      </c>
      <c r="W232" s="422"/>
    </row>
    <row r="233" spans="1:23" s="427" customFormat="1" x14ac:dyDescent="0.2">
      <c r="A233" s="418"/>
      <c r="B233" s="419" t="str">
        <f>IF($B232="","",IF($B232+1&gt;'Qredits maandlasten'!$C$7,"",Schema!B232+1))</f>
        <v/>
      </c>
      <c r="C233" s="420" t="str">
        <f>IF($B232="","",IF($B232+1&gt;'Qredits maandlasten'!$C$7,"",EOMONTH(C232,0)+1))</f>
        <v/>
      </c>
      <c r="D233" s="418"/>
      <c r="E233" s="420" t="str">
        <f>IF($B232="","",IF($B232+1&gt;'Qredits maandlasten'!$C$7,"",F232+1))</f>
        <v/>
      </c>
      <c r="F233" s="420" t="str">
        <f>IF($B232="","",IF($B232+1&gt;'Qredits maandlasten'!$C$7,"",EOMONTH(C233,-1)))</f>
        <v/>
      </c>
      <c r="G233" s="421" t="str">
        <f>IF($B232="","",IF($B232+1&gt;'Qredits maandlasten'!$C$7,"",(_xlfn.DAYS(F233,E233)+1)/DAY(F233)))</f>
        <v/>
      </c>
      <c r="H233" s="422"/>
      <c r="I233" s="423" t="str">
        <f>IF($B232="","",IF($B232+1&gt;'Qredits maandlasten'!$C$7,"",I232-J232))</f>
        <v/>
      </c>
      <c r="J233" s="423" t="str">
        <f>IF($B232="","",IF($B232+1&gt;'Qredits maandlasten'!$C$7,"",IF(B232&lt;'Investering &amp; Financiering'!$E$52-1,0,IF('Qredits maandlasten'!$C$10="Lineair",'Qredits maandlasten'!$H$4,IF('Qredits maandlasten'!$C$10="Annuïteit",IFERROR('Qredits maandlasten'!$H$4-K233,0),0)))))</f>
        <v/>
      </c>
      <c r="K233" s="423" t="str">
        <f>IF($B232="","",IF($B232+1&gt;'Qredits maandlasten'!$C$7,"",G233*I233*'Qredits maandlasten'!$C$8/12))</f>
        <v/>
      </c>
      <c r="L233" s="423" t="str">
        <f t="shared" si="17"/>
        <v/>
      </c>
      <c r="M233" s="423" t="str">
        <f t="shared" si="15"/>
        <v/>
      </c>
      <c r="N233" s="422"/>
      <c r="O233" s="424" t="str">
        <f>IF($B233="","",'Qredits maandlasten'!$C$8/12)</f>
        <v/>
      </c>
      <c r="P233" s="424" t="str">
        <f>IF($B233="","",'Qredits maandlasten'!$C$8/12*(POWER(1+'Qredits maandlasten'!$C$8/12,$B233-1+1)))</f>
        <v/>
      </c>
      <c r="Q233" s="424" t="str">
        <f t="shared" si="18"/>
        <v/>
      </c>
      <c r="R233" s="422"/>
      <c r="S233" s="423" t="str">
        <f t="shared" si="16"/>
        <v/>
      </c>
      <c r="T233" s="423" t="str">
        <f>IF(S233="","",J233/(POWER(1+'Qredits maandlasten'!$C$8/12,$B233-1+1)))</f>
        <v/>
      </c>
      <c r="U233" s="425" t="str">
        <f t="shared" si="19"/>
        <v/>
      </c>
      <c r="V233" s="423" t="str">
        <f>IF($B233="","",K233/(POWER(1+'Qredits maandlasten'!$C$8/12,$B233-1+1)))</f>
        <v/>
      </c>
      <c r="W233" s="422"/>
    </row>
    <row r="234" spans="1:23" s="427" customFormat="1" x14ac:dyDescent="0.2">
      <c r="A234" s="418"/>
      <c r="B234" s="419" t="str">
        <f>IF($B233="","",IF($B233+1&gt;'Qredits maandlasten'!$C$7,"",Schema!B233+1))</f>
        <v/>
      </c>
      <c r="C234" s="420" t="str">
        <f>IF($B233="","",IF($B233+1&gt;'Qredits maandlasten'!$C$7,"",EOMONTH(C233,0)+1))</f>
        <v/>
      </c>
      <c r="D234" s="418"/>
      <c r="E234" s="420" t="str">
        <f>IF($B233="","",IF($B233+1&gt;'Qredits maandlasten'!$C$7,"",F233+1))</f>
        <v/>
      </c>
      <c r="F234" s="420" t="str">
        <f>IF($B233="","",IF($B233+1&gt;'Qredits maandlasten'!$C$7,"",EOMONTH(C234,-1)))</f>
        <v/>
      </c>
      <c r="G234" s="421" t="str">
        <f>IF($B233="","",IF($B233+1&gt;'Qredits maandlasten'!$C$7,"",(_xlfn.DAYS(F234,E234)+1)/DAY(F234)))</f>
        <v/>
      </c>
      <c r="H234" s="422"/>
      <c r="I234" s="423" t="str">
        <f>IF($B233="","",IF($B233+1&gt;'Qredits maandlasten'!$C$7,"",I233-J233))</f>
        <v/>
      </c>
      <c r="J234" s="423" t="str">
        <f>IF($B233="","",IF($B233+1&gt;'Qredits maandlasten'!$C$7,"",IF(B233&lt;'Investering &amp; Financiering'!$E$52-1,0,IF('Qredits maandlasten'!$C$10="Lineair",'Qredits maandlasten'!$H$4,IF('Qredits maandlasten'!$C$10="Annuïteit",IFERROR('Qredits maandlasten'!$H$4-K234,0),0)))))</f>
        <v/>
      </c>
      <c r="K234" s="423" t="str">
        <f>IF($B233="","",IF($B233+1&gt;'Qredits maandlasten'!$C$7,"",G234*I234*'Qredits maandlasten'!$C$8/12))</f>
        <v/>
      </c>
      <c r="L234" s="423" t="str">
        <f t="shared" si="17"/>
        <v/>
      </c>
      <c r="M234" s="423" t="str">
        <f t="shared" si="15"/>
        <v/>
      </c>
      <c r="N234" s="422"/>
      <c r="O234" s="424" t="str">
        <f>IF($B234="","",'Qredits maandlasten'!$C$8/12)</f>
        <v/>
      </c>
      <c r="P234" s="424" t="str">
        <f>IF($B234="","",'Qredits maandlasten'!$C$8/12*(POWER(1+'Qredits maandlasten'!$C$8/12,$B234-1+1)))</f>
        <v/>
      </c>
      <c r="Q234" s="424" t="str">
        <f t="shared" si="18"/>
        <v/>
      </c>
      <c r="R234" s="422"/>
      <c r="S234" s="423" t="str">
        <f t="shared" si="16"/>
        <v/>
      </c>
      <c r="T234" s="423" t="str">
        <f>IF(S234="","",J234/(POWER(1+'Qredits maandlasten'!$C$8/12,$B234-1+1)))</f>
        <v/>
      </c>
      <c r="U234" s="425" t="str">
        <f t="shared" si="19"/>
        <v/>
      </c>
      <c r="V234" s="423" t="str">
        <f>IF($B234="","",K234/(POWER(1+'Qredits maandlasten'!$C$8/12,$B234-1+1)))</f>
        <v/>
      </c>
      <c r="W234" s="422"/>
    </row>
    <row r="235" spans="1:23" s="427" customFormat="1" x14ac:dyDescent="0.2">
      <c r="A235" s="418"/>
      <c r="B235" s="419" t="str">
        <f>IF($B234="","",IF($B234+1&gt;'Qredits maandlasten'!$C$7,"",Schema!B234+1))</f>
        <v/>
      </c>
      <c r="C235" s="420" t="str">
        <f>IF($B234="","",IF($B234+1&gt;'Qredits maandlasten'!$C$7,"",EOMONTH(C234,0)+1))</f>
        <v/>
      </c>
      <c r="D235" s="418"/>
      <c r="E235" s="420" t="str">
        <f>IF($B234="","",IF($B234+1&gt;'Qredits maandlasten'!$C$7,"",F234+1))</f>
        <v/>
      </c>
      <c r="F235" s="420" t="str">
        <f>IF($B234="","",IF($B234+1&gt;'Qredits maandlasten'!$C$7,"",EOMONTH(C235,-1)))</f>
        <v/>
      </c>
      <c r="G235" s="421" t="str">
        <f>IF($B234="","",IF($B234+1&gt;'Qredits maandlasten'!$C$7,"",(_xlfn.DAYS(F235,E235)+1)/DAY(F235)))</f>
        <v/>
      </c>
      <c r="H235" s="422"/>
      <c r="I235" s="423" t="str">
        <f>IF($B234="","",IF($B234+1&gt;'Qredits maandlasten'!$C$7,"",I234-J234))</f>
        <v/>
      </c>
      <c r="J235" s="423" t="str">
        <f>IF($B234="","",IF($B234+1&gt;'Qredits maandlasten'!$C$7,"",IF(B234&lt;'Investering &amp; Financiering'!$E$52-1,0,IF('Qredits maandlasten'!$C$10="Lineair",'Qredits maandlasten'!$H$4,IF('Qredits maandlasten'!$C$10="Annuïteit",IFERROR('Qredits maandlasten'!$H$4-K235,0),0)))))</f>
        <v/>
      </c>
      <c r="K235" s="423" t="str">
        <f>IF($B234="","",IF($B234+1&gt;'Qredits maandlasten'!$C$7,"",G235*I235*'Qredits maandlasten'!$C$8/12))</f>
        <v/>
      </c>
      <c r="L235" s="423" t="str">
        <f t="shared" si="17"/>
        <v/>
      </c>
      <c r="M235" s="423" t="str">
        <f t="shared" si="15"/>
        <v/>
      </c>
      <c r="N235" s="422"/>
      <c r="O235" s="424" t="str">
        <f>IF($B235="","",'Qredits maandlasten'!$C$8/12)</f>
        <v/>
      </c>
      <c r="P235" s="424" t="str">
        <f>IF($B235="","",'Qredits maandlasten'!$C$8/12*(POWER(1+'Qredits maandlasten'!$C$8/12,$B235-1+1)))</f>
        <v/>
      </c>
      <c r="Q235" s="424" t="str">
        <f t="shared" si="18"/>
        <v/>
      </c>
      <c r="R235" s="422"/>
      <c r="S235" s="423" t="str">
        <f t="shared" si="16"/>
        <v/>
      </c>
      <c r="T235" s="423" t="str">
        <f>IF(S235="","",J235/(POWER(1+'Qredits maandlasten'!$C$8/12,$B235-1+1)))</f>
        <v/>
      </c>
      <c r="U235" s="425" t="str">
        <f t="shared" si="19"/>
        <v/>
      </c>
      <c r="V235" s="423" t="str">
        <f>IF($B235="","",K235/(POWER(1+'Qredits maandlasten'!$C$8/12,$B235-1+1)))</f>
        <v/>
      </c>
      <c r="W235" s="422"/>
    </row>
    <row r="236" spans="1:23" s="427" customFormat="1" x14ac:dyDescent="0.2">
      <c r="A236" s="418"/>
      <c r="B236" s="419" t="str">
        <f>IF($B235="","",IF($B235+1&gt;'Qredits maandlasten'!$C$7,"",Schema!B235+1))</f>
        <v/>
      </c>
      <c r="C236" s="420" t="str">
        <f>IF($B235="","",IF($B235+1&gt;'Qredits maandlasten'!$C$7,"",EOMONTH(C235,0)+1))</f>
        <v/>
      </c>
      <c r="D236" s="418"/>
      <c r="E236" s="420" t="str">
        <f>IF($B235="","",IF($B235+1&gt;'Qredits maandlasten'!$C$7,"",F235+1))</f>
        <v/>
      </c>
      <c r="F236" s="420" t="str">
        <f>IF($B235="","",IF($B235+1&gt;'Qredits maandlasten'!$C$7,"",EOMONTH(C236,-1)))</f>
        <v/>
      </c>
      <c r="G236" s="421" t="str">
        <f>IF($B235="","",IF($B235+1&gt;'Qredits maandlasten'!$C$7,"",(_xlfn.DAYS(F236,E236)+1)/DAY(F236)))</f>
        <v/>
      </c>
      <c r="H236" s="422"/>
      <c r="I236" s="423" t="str">
        <f>IF($B235="","",IF($B235+1&gt;'Qredits maandlasten'!$C$7,"",I235-J235))</f>
        <v/>
      </c>
      <c r="J236" s="423" t="str">
        <f>IF($B235="","",IF($B235+1&gt;'Qredits maandlasten'!$C$7,"",IF(B235&lt;'Investering &amp; Financiering'!$E$52-1,0,IF('Qredits maandlasten'!$C$10="Lineair",'Qredits maandlasten'!$H$4,IF('Qredits maandlasten'!$C$10="Annuïteit",IFERROR('Qredits maandlasten'!$H$4-K236,0),0)))))</f>
        <v/>
      </c>
      <c r="K236" s="423" t="str">
        <f>IF($B235="","",IF($B235+1&gt;'Qredits maandlasten'!$C$7,"",G236*I236*'Qredits maandlasten'!$C$8/12))</f>
        <v/>
      </c>
      <c r="L236" s="423" t="str">
        <f t="shared" si="17"/>
        <v/>
      </c>
      <c r="M236" s="423" t="str">
        <f t="shared" si="15"/>
        <v/>
      </c>
      <c r="N236" s="422"/>
      <c r="O236" s="424" t="str">
        <f>IF($B236="","",'Qredits maandlasten'!$C$8/12)</f>
        <v/>
      </c>
      <c r="P236" s="424" t="str">
        <f>IF($B236="","",'Qredits maandlasten'!$C$8/12*(POWER(1+'Qredits maandlasten'!$C$8/12,$B236-1+1)))</f>
        <v/>
      </c>
      <c r="Q236" s="424" t="str">
        <f t="shared" si="18"/>
        <v/>
      </c>
      <c r="R236" s="422"/>
      <c r="S236" s="423" t="str">
        <f t="shared" si="16"/>
        <v/>
      </c>
      <c r="T236" s="423" t="str">
        <f>IF(S236="","",J236/(POWER(1+'Qredits maandlasten'!$C$8/12,$B236-1+1)))</f>
        <v/>
      </c>
      <c r="U236" s="425" t="str">
        <f t="shared" si="19"/>
        <v/>
      </c>
      <c r="V236" s="423" t="str">
        <f>IF($B236="","",K236/(POWER(1+'Qredits maandlasten'!$C$8/12,$B236-1+1)))</f>
        <v/>
      </c>
      <c r="W236" s="422"/>
    </row>
    <row r="237" spans="1:23" s="427" customFormat="1" x14ac:dyDescent="0.2">
      <c r="A237" s="418"/>
      <c r="B237" s="419" t="str">
        <f>IF($B236="","",IF($B236+1&gt;'Qredits maandlasten'!$C$7,"",Schema!B236+1))</f>
        <v/>
      </c>
      <c r="C237" s="420" t="str">
        <f>IF($B236="","",IF($B236+1&gt;'Qredits maandlasten'!$C$7,"",EOMONTH(C236,0)+1))</f>
        <v/>
      </c>
      <c r="D237" s="418"/>
      <c r="E237" s="420" t="str">
        <f>IF($B236="","",IF($B236+1&gt;'Qredits maandlasten'!$C$7,"",F236+1))</f>
        <v/>
      </c>
      <c r="F237" s="420" t="str">
        <f>IF($B236="","",IF($B236+1&gt;'Qredits maandlasten'!$C$7,"",EOMONTH(C237,-1)))</f>
        <v/>
      </c>
      <c r="G237" s="421" t="str">
        <f>IF($B236="","",IF($B236+1&gt;'Qredits maandlasten'!$C$7,"",(_xlfn.DAYS(F237,E237)+1)/DAY(F237)))</f>
        <v/>
      </c>
      <c r="H237" s="422"/>
      <c r="I237" s="423" t="str">
        <f>IF($B236="","",IF($B236+1&gt;'Qredits maandlasten'!$C$7,"",I236-J236))</f>
        <v/>
      </c>
      <c r="J237" s="423" t="str">
        <f>IF($B236="","",IF($B236+1&gt;'Qredits maandlasten'!$C$7,"",IF(B236&lt;'Investering &amp; Financiering'!$E$52-1,0,IF('Qredits maandlasten'!$C$10="Lineair",'Qredits maandlasten'!$H$4,IF('Qredits maandlasten'!$C$10="Annuïteit",IFERROR('Qredits maandlasten'!$H$4-K237,0),0)))))</f>
        <v/>
      </c>
      <c r="K237" s="423" t="str">
        <f>IF($B236="","",IF($B236+1&gt;'Qredits maandlasten'!$C$7,"",G237*I237*'Qredits maandlasten'!$C$8/12))</f>
        <v/>
      </c>
      <c r="L237" s="423" t="str">
        <f t="shared" si="17"/>
        <v/>
      </c>
      <c r="M237" s="423" t="str">
        <f t="shared" si="15"/>
        <v/>
      </c>
      <c r="N237" s="422"/>
      <c r="O237" s="424" t="str">
        <f>IF($B237="","",'Qredits maandlasten'!$C$8/12)</f>
        <v/>
      </c>
      <c r="P237" s="424" t="str">
        <f>IF($B237="","",'Qredits maandlasten'!$C$8/12*(POWER(1+'Qredits maandlasten'!$C$8/12,$B237-1+1)))</f>
        <v/>
      </c>
      <c r="Q237" s="424" t="str">
        <f t="shared" si="18"/>
        <v/>
      </c>
      <c r="R237" s="422"/>
      <c r="S237" s="423" t="str">
        <f t="shared" si="16"/>
        <v/>
      </c>
      <c r="T237" s="423" t="str">
        <f>IF(S237="","",J237/(POWER(1+'Qredits maandlasten'!$C$8/12,$B237-1+1)))</f>
        <v/>
      </c>
      <c r="U237" s="425" t="str">
        <f t="shared" si="19"/>
        <v/>
      </c>
      <c r="V237" s="423" t="str">
        <f>IF($B237="","",K237/(POWER(1+'Qredits maandlasten'!$C$8/12,$B237-1+1)))</f>
        <v/>
      </c>
      <c r="W237" s="422"/>
    </row>
    <row r="238" spans="1:23" s="427" customFormat="1" x14ac:dyDescent="0.2">
      <c r="A238" s="418"/>
      <c r="B238" s="419" t="str">
        <f>IF($B237="","",IF($B237+1&gt;'Qredits maandlasten'!$C$7,"",Schema!B237+1))</f>
        <v/>
      </c>
      <c r="C238" s="420" t="str">
        <f>IF($B237="","",IF($B237+1&gt;'Qredits maandlasten'!$C$7,"",EOMONTH(C237,0)+1))</f>
        <v/>
      </c>
      <c r="D238" s="418"/>
      <c r="E238" s="420" t="str">
        <f>IF($B237="","",IF($B237+1&gt;'Qredits maandlasten'!$C$7,"",F237+1))</f>
        <v/>
      </c>
      <c r="F238" s="420" t="str">
        <f>IF($B237="","",IF($B237+1&gt;'Qredits maandlasten'!$C$7,"",EOMONTH(C238,-1)))</f>
        <v/>
      </c>
      <c r="G238" s="421" t="str">
        <f>IF($B237="","",IF($B237+1&gt;'Qredits maandlasten'!$C$7,"",(_xlfn.DAYS(F238,E238)+1)/DAY(F238)))</f>
        <v/>
      </c>
      <c r="H238" s="422"/>
      <c r="I238" s="423" t="str">
        <f>IF($B237="","",IF($B237+1&gt;'Qredits maandlasten'!$C$7,"",I237-J237))</f>
        <v/>
      </c>
      <c r="J238" s="423" t="str">
        <f>IF($B237="","",IF($B237+1&gt;'Qredits maandlasten'!$C$7,"",IF(B237&lt;'Investering &amp; Financiering'!$E$52-1,0,IF('Qredits maandlasten'!$C$10="Lineair",'Qredits maandlasten'!$H$4,IF('Qredits maandlasten'!$C$10="Annuïteit",IFERROR('Qredits maandlasten'!$H$4-K238,0),0)))))</f>
        <v/>
      </c>
      <c r="K238" s="423" t="str">
        <f>IF($B237="","",IF($B237+1&gt;'Qredits maandlasten'!$C$7,"",G238*I238*'Qredits maandlasten'!$C$8/12))</f>
        <v/>
      </c>
      <c r="L238" s="423" t="str">
        <f t="shared" si="17"/>
        <v/>
      </c>
      <c r="M238" s="423" t="str">
        <f t="shared" si="15"/>
        <v/>
      </c>
      <c r="N238" s="422"/>
      <c r="O238" s="424" t="str">
        <f>IF($B238="","",'Qredits maandlasten'!$C$8/12)</f>
        <v/>
      </c>
      <c r="P238" s="424" t="str">
        <f>IF($B238="","",'Qredits maandlasten'!$C$8/12*(POWER(1+'Qredits maandlasten'!$C$8/12,$B238-1+1)))</f>
        <v/>
      </c>
      <c r="Q238" s="424" t="str">
        <f t="shared" si="18"/>
        <v/>
      </c>
      <c r="R238" s="422"/>
      <c r="S238" s="423" t="str">
        <f t="shared" si="16"/>
        <v/>
      </c>
      <c r="T238" s="423" t="str">
        <f>IF(S238="","",J238/(POWER(1+'Qredits maandlasten'!$C$8/12,$B238-1+1)))</f>
        <v/>
      </c>
      <c r="U238" s="425" t="str">
        <f t="shared" si="19"/>
        <v/>
      </c>
      <c r="V238" s="423" t="str">
        <f>IF($B238="","",K238/(POWER(1+'Qredits maandlasten'!$C$8/12,$B238-1+1)))</f>
        <v/>
      </c>
      <c r="W238" s="422"/>
    </row>
    <row r="239" spans="1:23" s="427" customFormat="1" x14ac:dyDescent="0.2">
      <c r="A239" s="418"/>
      <c r="B239" s="419" t="str">
        <f>IF($B238="","",IF($B238+1&gt;'Qredits maandlasten'!$C$7,"",Schema!B238+1))</f>
        <v/>
      </c>
      <c r="C239" s="420" t="str">
        <f>IF($B238="","",IF($B238+1&gt;'Qredits maandlasten'!$C$7,"",EOMONTH(C238,0)+1))</f>
        <v/>
      </c>
      <c r="D239" s="418"/>
      <c r="E239" s="420" t="str">
        <f>IF($B238="","",IF($B238+1&gt;'Qredits maandlasten'!$C$7,"",F238+1))</f>
        <v/>
      </c>
      <c r="F239" s="420" t="str">
        <f>IF($B238="","",IF($B238+1&gt;'Qredits maandlasten'!$C$7,"",EOMONTH(C239,-1)))</f>
        <v/>
      </c>
      <c r="G239" s="421" t="str">
        <f>IF($B238="","",IF($B238+1&gt;'Qredits maandlasten'!$C$7,"",(_xlfn.DAYS(F239,E239)+1)/DAY(F239)))</f>
        <v/>
      </c>
      <c r="H239" s="422"/>
      <c r="I239" s="423" t="str">
        <f>IF($B238="","",IF($B238+1&gt;'Qredits maandlasten'!$C$7,"",I238-J238))</f>
        <v/>
      </c>
      <c r="J239" s="423" t="str">
        <f>IF($B238="","",IF($B238+1&gt;'Qredits maandlasten'!$C$7,"",IF(B238&lt;'Investering &amp; Financiering'!$E$52-1,0,IF('Qredits maandlasten'!$C$10="Lineair",'Qredits maandlasten'!$H$4,IF('Qredits maandlasten'!$C$10="Annuïteit",IFERROR('Qredits maandlasten'!$H$4-K239,0),0)))))</f>
        <v/>
      </c>
      <c r="K239" s="423" t="str">
        <f>IF($B238="","",IF($B238+1&gt;'Qredits maandlasten'!$C$7,"",G239*I239*'Qredits maandlasten'!$C$8/12))</f>
        <v/>
      </c>
      <c r="L239" s="423" t="str">
        <f t="shared" si="17"/>
        <v/>
      </c>
      <c r="M239" s="423" t="str">
        <f t="shared" si="15"/>
        <v/>
      </c>
      <c r="N239" s="422"/>
      <c r="O239" s="424" t="str">
        <f>IF($B239="","",'Qredits maandlasten'!$C$8/12)</f>
        <v/>
      </c>
      <c r="P239" s="424" t="str">
        <f>IF($B239="","",'Qredits maandlasten'!$C$8/12*(POWER(1+'Qredits maandlasten'!$C$8/12,$B239-1+1)))</f>
        <v/>
      </c>
      <c r="Q239" s="424" t="str">
        <f t="shared" si="18"/>
        <v/>
      </c>
      <c r="R239" s="422"/>
      <c r="S239" s="423" t="str">
        <f t="shared" si="16"/>
        <v/>
      </c>
      <c r="T239" s="423" t="str">
        <f>IF(S239="","",J239/(POWER(1+'Qredits maandlasten'!$C$8/12,$B239-1+1)))</f>
        <v/>
      </c>
      <c r="U239" s="425" t="str">
        <f t="shared" si="19"/>
        <v/>
      </c>
      <c r="V239" s="423" t="str">
        <f>IF($B239="","",K239/(POWER(1+'Qredits maandlasten'!$C$8/12,$B239-1+1)))</f>
        <v/>
      </c>
      <c r="W239" s="422"/>
    </row>
    <row r="240" spans="1:23" s="427" customFormat="1" x14ac:dyDescent="0.2">
      <c r="A240" s="418"/>
      <c r="B240" s="419" t="str">
        <f>IF($B239="","",IF($B239+1&gt;'Qredits maandlasten'!$C$7,"",Schema!B239+1))</f>
        <v/>
      </c>
      <c r="C240" s="420" t="str">
        <f>IF($B239="","",IF($B239+1&gt;'Qredits maandlasten'!$C$7,"",EOMONTH(C239,0)+1))</f>
        <v/>
      </c>
      <c r="D240" s="418"/>
      <c r="E240" s="420" t="str">
        <f>IF($B239="","",IF($B239+1&gt;'Qredits maandlasten'!$C$7,"",F239+1))</f>
        <v/>
      </c>
      <c r="F240" s="420" t="str">
        <f>IF($B239="","",IF($B239+1&gt;'Qredits maandlasten'!$C$7,"",EOMONTH(C240,-1)))</f>
        <v/>
      </c>
      <c r="G240" s="421" t="str">
        <f>IF($B239="","",IF($B239+1&gt;'Qredits maandlasten'!$C$7,"",(_xlfn.DAYS(F240,E240)+1)/DAY(F240)))</f>
        <v/>
      </c>
      <c r="H240" s="422"/>
      <c r="I240" s="423" t="str">
        <f>IF($B239="","",IF($B239+1&gt;'Qredits maandlasten'!$C$7,"",I239-J239))</f>
        <v/>
      </c>
      <c r="J240" s="423" t="str">
        <f>IF($B239="","",IF($B239+1&gt;'Qredits maandlasten'!$C$7,"",IF(B239&lt;'Investering &amp; Financiering'!$E$52-1,0,IF('Qredits maandlasten'!$C$10="Lineair",'Qredits maandlasten'!$H$4,IF('Qredits maandlasten'!$C$10="Annuïteit",IFERROR('Qredits maandlasten'!$H$4-K240,0),0)))))</f>
        <v/>
      </c>
      <c r="K240" s="423" t="str">
        <f>IF($B239="","",IF($B239+1&gt;'Qredits maandlasten'!$C$7,"",G240*I240*'Qredits maandlasten'!$C$8/12))</f>
        <v/>
      </c>
      <c r="L240" s="423" t="str">
        <f t="shared" si="17"/>
        <v/>
      </c>
      <c r="M240" s="423" t="str">
        <f t="shared" si="15"/>
        <v/>
      </c>
      <c r="N240" s="422"/>
      <c r="O240" s="424" t="str">
        <f>IF($B240="","",'Qredits maandlasten'!$C$8/12)</f>
        <v/>
      </c>
      <c r="P240" s="424" t="str">
        <f>IF($B240="","",'Qredits maandlasten'!$C$8/12*(POWER(1+'Qredits maandlasten'!$C$8/12,$B240-1+1)))</f>
        <v/>
      </c>
      <c r="Q240" s="424" t="str">
        <f t="shared" si="18"/>
        <v/>
      </c>
      <c r="R240" s="422"/>
      <c r="S240" s="423" t="str">
        <f t="shared" si="16"/>
        <v/>
      </c>
      <c r="T240" s="423" t="str">
        <f>IF(S240="","",J240/(POWER(1+'Qredits maandlasten'!$C$8/12,$B240-1+1)))</f>
        <v/>
      </c>
      <c r="U240" s="425" t="str">
        <f t="shared" si="19"/>
        <v/>
      </c>
      <c r="V240" s="423" t="str">
        <f>IF($B240="","",K240/(POWER(1+'Qredits maandlasten'!$C$8/12,$B240-1+1)))</f>
        <v/>
      </c>
      <c r="W240" s="422"/>
    </row>
    <row r="241" spans="1:23" s="427" customFormat="1" x14ac:dyDescent="0.2">
      <c r="A241" s="418"/>
      <c r="B241" s="419" t="str">
        <f>IF($B240="","",IF($B240+1&gt;'Qredits maandlasten'!$C$7,"",Schema!B240+1))</f>
        <v/>
      </c>
      <c r="C241" s="420" t="str">
        <f>IF($B240="","",IF($B240+1&gt;'Qredits maandlasten'!$C$7,"",EOMONTH(C240,0)+1))</f>
        <v/>
      </c>
      <c r="D241" s="418"/>
      <c r="E241" s="420" t="str">
        <f>IF($B240="","",IF($B240+1&gt;'Qredits maandlasten'!$C$7,"",F240+1))</f>
        <v/>
      </c>
      <c r="F241" s="420" t="str">
        <f>IF($B240="","",IF($B240+1&gt;'Qredits maandlasten'!$C$7,"",EOMONTH(C241,-1)))</f>
        <v/>
      </c>
      <c r="G241" s="421" t="str">
        <f>IF($B240="","",IF($B240+1&gt;'Qredits maandlasten'!$C$7,"",(_xlfn.DAYS(F241,E241)+1)/DAY(F241)))</f>
        <v/>
      </c>
      <c r="H241" s="422"/>
      <c r="I241" s="423" t="str">
        <f>IF($B240="","",IF($B240+1&gt;'Qredits maandlasten'!$C$7,"",I240-J240))</f>
        <v/>
      </c>
      <c r="J241" s="423" t="str">
        <f>IF($B240="","",IF($B240+1&gt;'Qredits maandlasten'!$C$7,"",IF(B240&lt;'Investering &amp; Financiering'!$E$52-1,0,IF('Qredits maandlasten'!$C$10="Lineair",'Qredits maandlasten'!$H$4,IF('Qredits maandlasten'!$C$10="Annuïteit",IFERROR('Qredits maandlasten'!$H$4-K241,0),0)))))</f>
        <v/>
      </c>
      <c r="K241" s="423" t="str">
        <f>IF($B240="","",IF($B240+1&gt;'Qredits maandlasten'!$C$7,"",G241*I241*'Qredits maandlasten'!$C$8/12))</f>
        <v/>
      </c>
      <c r="L241" s="423" t="str">
        <f t="shared" si="17"/>
        <v/>
      </c>
      <c r="M241" s="423" t="str">
        <f t="shared" si="15"/>
        <v/>
      </c>
      <c r="N241" s="422"/>
      <c r="O241" s="424" t="str">
        <f>IF($B241="","",'Qredits maandlasten'!$C$8/12)</f>
        <v/>
      </c>
      <c r="P241" s="424" t="str">
        <f>IF($B241="","",'Qredits maandlasten'!$C$8/12*(POWER(1+'Qredits maandlasten'!$C$8/12,$B241-1+1)))</f>
        <v/>
      </c>
      <c r="Q241" s="424" t="str">
        <f t="shared" si="18"/>
        <v/>
      </c>
      <c r="R241" s="422"/>
      <c r="S241" s="423" t="str">
        <f t="shared" si="16"/>
        <v/>
      </c>
      <c r="T241" s="423" t="str">
        <f>IF(S241="","",J241/(POWER(1+'Qredits maandlasten'!$C$8/12,$B241-1+1)))</f>
        <v/>
      </c>
      <c r="U241" s="425" t="str">
        <f t="shared" si="19"/>
        <v/>
      </c>
      <c r="V241" s="423" t="str">
        <f>IF($B241="","",K241/(POWER(1+'Qredits maandlasten'!$C$8/12,$B241-1+1)))</f>
        <v/>
      </c>
      <c r="W241" s="422"/>
    </row>
    <row r="242" spans="1:23" s="427" customFormat="1" x14ac:dyDescent="0.2">
      <c r="A242" s="418"/>
      <c r="B242" s="419" t="str">
        <f>IF($B241="","",IF($B241+1&gt;'Qredits maandlasten'!$C$7,"",Schema!B241+1))</f>
        <v/>
      </c>
      <c r="C242" s="420" t="str">
        <f>IF($B241="","",IF($B241+1&gt;'Qredits maandlasten'!$C$7,"",EOMONTH(C241,0)+1))</f>
        <v/>
      </c>
      <c r="D242" s="418"/>
      <c r="E242" s="420" t="str">
        <f>IF($B241="","",IF($B241+1&gt;'Qredits maandlasten'!$C$7,"",F241+1))</f>
        <v/>
      </c>
      <c r="F242" s="420" t="str">
        <f>IF($B241="","",IF($B241+1&gt;'Qredits maandlasten'!$C$7,"",EOMONTH(C242,-1)))</f>
        <v/>
      </c>
      <c r="G242" s="421" t="str">
        <f>IF($B241="","",IF($B241+1&gt;'Qredits maandlasten'!$C$7,"",(_xlfn.DAYS(F242,E242)+1)/DAY(F242)))</f>
        <v/>
      </c>
      <c r="H242" s="422"/>
      <c r="I242" s="423" t="str">
        <f>IF($B241="","",IF($B241+1&gt;'Qredits maandlasten'!$C$7,"",I241-J241))</f>
        <v/>
      </c>
      <c r="J242" s="423" t="str">
        <f>IF($B241="","",IF($B241+1&gt;'Qredits maandlasten'!$C$7,"",IF(B241&lt;'Investering &amp; Financiering'!$E$52-1,0,IF('Qredits maandlasten'!$C$10="Lineair",'Qredits maandlasten'!$H$4,IF('Qredits maandlasten'!$C$10="Annuïteit",IFERROR('Qredits maandlasten'!$H$4-K242,0),0)))))</f>
        <v/>
      </c>
      <c r="K242" s="423" t="str">
        <f>IF($B241="","",IF($B241+1&gt;'Qredits maandlasten'!$C$7,"",G242*I242*'Qredits maandlasten'!$C$8/12))</f>
        <v/>
      </c>
      <c r="L242" s="423" t="str">
        <f t="shared" si="17"/>
        <v/>
      </c>
      <c r="M242" s="423" t="str">
        <f t="shared" si="15"/>
        <v/>
      </c>
      <c r="N242" s="422"/>
      <c r="O242" s="424" t="str">
        <f>IF($B242="","",'Qredits maandlasten'!$C$8/12)</f>
        <v/>
      </c>
      <c r="P242" s="424" t="str">
        <f>IF($B242="","",'Qredits maandlasten'!$C$8/12*(POWER(1+'Qredits maandlasten'!$C$8/12,$B242-1+1)))</f>
        <v/>
      </c>
      <c r="Q242" s="424" t="str">
        <f t="shared" si="18"/>
        <v/>
      </c>
      <c r="R242" s="422"/>
      <c r="S242" s="423" t="str">
        <f t="shared" si="16"/>
        <v/>
      </c>
      <c r="T242" s="423" t="str">
        <f>IF(S242="","",J242/(POWER(1+'Qredits maandlasten'!$C$8/12,$B242-1+1)))</f>
        <v/>
      </c>
      <c r="U242" s="425" t="str">
        <f t="shared" si="19"/>
        <v/>
      </c>
      <c r="V242" s="423" t="str">
        <f>IF($B242="","",K242/(POWER(1+'Qredits maandlasten'!$C$8/12,$B242-1+1)))</f>
        <v/>
      </c>
      <c r="W242" s="422"/>
    </row>
    <row r="243" spans="1:23" s="427" customFormat="1" x14ac:dyDescent="0.2">
      <c r="A243" s="418"/>
      <c r="B243" s="419" t="str">
        <f>IF($B242="","",IF($B242+1&gt;'Qredits maandlasten'!$C$7,"",Schema!B242+1))</f>
        <v/>
      </c>
      <c r="C243" s="420" t="str">
        <f>IF($B242="","",IF($B242+1&gt;'Qredits maandlasten'!$C$7,"",EOMONTH(C242,0)+1))</f>
        <v/>
      </c>
      <c r="D243" s="418"/>
      <c r="E243" s="420" t="str">
        <f>IF($B242="","",IF($B242+1&gt;'Qredits maandlasten'!$C$7,"",F242+1))</f>
        <v/>
      </c>
      <c r="F243" s="420" t="str">
        <f>IF($B242="","",IF($B242+1&gt;'Qredits maandlasten'!$C$7,"",EOMONTH(C243,-1)))</f>
        <v/>
      </c>
      <c r="G243" s="421" t="str">
        <f>IF($B242="","",IF($B242+1&gt;'Qredits maandlasten'!$C$7,"",(_xlfn.DAYS(F243,E243)+1)/DAY(F243)))</f>
        <v/>
      </c>
      <c r="H243" s="422"/>
      <c r="I243" s="423" t="str">
        <f>IF($B242="","",IF($B242+1&gt;'Qredits maandlasten'!$C$7,"",I242-J242))</f>
        <v/>
      </c>
      <c r="J243" s="423" t="str">
        <f>IF($B242="","",IF($B242+1&gt;'Qredits maandlasten'!$C$7,"",IF(B242&lt;'Investering &amp; Financiering'!$E$52-1,0,IF('Qredits maandlasten'!$C$10="Lineair",'Qredits maandlasten'!$H$4,IF('Qredits maandlasten'!$C$10="Annuïteit",IFERROR('Qredits maandlasten'!$H$4-K243,0),0)))))</f>
        <v/>
      </c>
      <c r="K243" s="423" t="str">
        <f>IF($B242="","",IF($B242+1&gt;'Qredits maandlasten'!$C$7,"",G243*I243*'Qredits maandlasten'!$C$8/12))</f>
        <v/>
      </c>
      <c r="L243" s="423" t="str">
        <f t="shared" si="17"/>
        <v/>
      </c>
      <c r="M243" s="423" t="str">
        <f t="shared" si="15"/>
        <v/>
      </c>
      <c r="N243" s="422"/>
      <c r="O243" s="424" t="str">
        <f>IF($B243="","",'Qredits maandlasten'!$C$8/12)</f>
        <v/>
      </c>
      <c r="P243" s="424" t="str">
        <f>IF($B243="","",'Qredits maandlasten'!$C$8/12*(POWER(1+'Qredits maandlasten'!$C$8/12,$B243-1+1)))</f>
        <v/>
      </c>
      <c r="Q243" s="424" t="str">
        <f t="shared" si="18"/>
        <v/>
      </c>
      <c r="R243" s="422"/>
      <c r="S243" s="423" t="str">
        <f t="shared" si="16"/>
        <v/>
      </c>
      <c r="T243" s="423" t="str">
        <f>IF(S243="","",J243/(POWER(1+'Qredits maandlasten'!$C$8/12,$B243-1+1)))</f>
        <v/>
      </c>
      <c r="U243" s="425" t="str">
        <f t="shared" si="19"/>
        <v/>
      </c>
      <c r="V243" s="423" t="str">
        <f>IF($B243="","",K243/(POWER(1+'Qredits maandlasten'!$C$8/12,$B243-1+1)))</f>
        <v/>
      </c>
      <c r="W243" s="422"/>
    </row>
    <row r="244" spans="1:23" s="427" customFormat="1" x14ac:dyDescent="0.2">
      <c r="A244" s="418"/>
      <c r="B244" s="419" t="str">
        <f>IF($B243="","",IF($B243+1&gt;'Qredits maandlasten'!$C$7,"",Schema!B243+1))</f>
        <v/>
      </c>
      <c r="C244" s="420" t="str">
        <f>IF($B243="","",IF($B243+1&gt;'Qredits maandlasten'!$C$7,"",EOMONTH(C243,0)+1))</f>
        <v/>
      </c>
      <c r="D244" s="418"/>
      <c r="E244" s="420" t="str">
        <f>IF($B243="","",IF($B243+1&gt;'Qredits maandlasten'!$C$7,"",F243+1))</f>
        <v/>
      </c>
      <c r="F244" s="420" t="str">
        <f>IF($B243="","",IF($B243+1&gt;'Qredits maandlasten'!$C$7,"",EOMONTH(C244,-1)))</f>
        <v/>
      </c>
      <c r="G244" s="421" t="str">
        <f>IF($B243="","",IF($B243+1&gt;'Qredits maandlasten'!$C$7,"",(_xlfn.DAYS(F244,E244)+1)/DAY(F244)))</f>
        <v/>
      </c>
      <c r="H244" s="422"/>
      <c r="I244" s="423" t="str">
        <f>IF($B243="","",IF($B243+1&gt;'Qredits maandlasten'!$C$7,"",I243-J243))</f>
        <v/>
      </c>
      <c r="J244" s="423" t="str">
        <f>IF($B243="","",IF($B243+1&gt;'Qredits maandlasten'!$C$7,"",IF(B243&lt;'Investering &amp; Financiering'!$E$52-1,0,IF('Qredits maandlasten'!$C$10="Lineair",'Qredits maandlasten'!$H$4,IF('Qredits maandlasten'!$C$10="Annuïteit",IFERROR('Qredits maandlasten'!$H$4-K244,0),0)))))</f>
        <v/>
      </c>
      <c r="K244" s="423" t="str">
        <f>IF($B243="","",IF($B243+1&gt;'Qredits maandlasten'!$C$7,"",G244*I244*'Qredits maandlasten'!$C$8/12))</f>
        <v/>
      </c>
      <c r="L244" s="423" t="str">
        <f t="shared" si="17"/>
        <v/>
      </c>
      <c r="M244" s="423" t="str">
        <f t="shared" si="15"/>
        <v/>
      </c>
      <c r="N244" s="422"/>
      <c r="O244" s="424" t="str">
        <f>IF($B244="","",'Qredits maandlasten'!$C$8/12)</f>
        <v/>
      </c>
      <c r="P244" s="424" t="str">
        <f>IF($B244="","",'Qredits maandlasten'!$C$8/12*(POWER(1+'Qredits maandlasten'!$C$8/12,$B244-1+1)))</f>
        <v/>
      </c>
      <c r="Q244" s="424" t="str">
        <f t="shared" si="18"/>
        <v/>
      </c>
      <c r="R244" s="422"/>
      <c r="S244" s="423" t="str">
        <f t="shared" si="16"/>
        <v/>
      </c>
      <c r="T244" s="423" t="str">
        <f>IF(S244="","",J244/(POWER(1+'Qredits maandlasten'!$C$8/12,$B244-1+1)))</f>
        <v/>
      </c>
      <c r="U244" s="425" t="str">
        <f t="shared" si="19"/>
        <v/>
      </c>
      <c r="V244" s="423" t="str">
        <f>IF($B244="","",K244/(POWER(1+'Qredits maandlasten'!$C$8/12,$B244-1+1)))</f>
        <v/>
      </c>
      <c r="W244" s="422"/>
    </row>
    <row r="245" spans="1:23" s="427" customFormat="1" x14ac:dyDescent="0.2">
      <c r="A245" s="418"/>
      <c r="B245" s="419" t="str">
        <f>IF($B244="","",IF($B244+1&gt;'Qredits maandlasten'!$C$7,"",Schema!B244+1))</f>
        <v/>
      </c>
      <c r="C245" s="420" t="str">
        <f>IF($B244="","",IF($B244+1&gt;'Qredits maandlasten'!$C$7,"",EOMONTH(C244,0)+1))</f>
        <v/>
      </c>
      <c r="D245" s="418"/>
      <c r="E245" s="420" t="str">
        <f>IF($B244="","",IF($B244+1&gt;'Qredits maandlasten'!$C$7,"",F244+1))</f>
        <v/>
      </c>
      <c r="F245" s="420" t="str">
        <f>IF($B244="","",IF($B244+1&gt;'Qredits maandlasten'!$C$7,"",EOMONTH(C245,-1)))</f>
        <v/>
      </c>
      <c r="G245" s="421" t="str">
        <f>IF($B244="","",IF($B244+1&gt;'Qredits maandlasten'!$C$7,"",(_xlfn.DAYS(F245,E245)+1)/DAY(F245)))</f>
        <v/>
      </c>
      <c r="H245" s="422"/>
      <c r="I245" s="423" t="str">
        <f>IF($B244="","",IF($B244+1&gt;'Qredits maandlasten'!$C$7,"",I244-J244))</f>
        <v/>
      </c>
      <c r="J245" s="423" t="str">
        <f>IF($B244="","",IF($B244+1&gt;'Qredits maandlasten'!$C$7,"",IF(B244&lt;'Investering &amp; Financiering'!$E$52-1,0,IF('Qredits maandlasten'!$C$10="Lineair",'Qredits maandlasten'!$H$4,IF('Qredits maandlasten'!$C$10="Annuïteit",IFERROR('Qredits maandlasten'!$H$4-K245,0),0)))))</f>
        <v/>
      </c>
      <c r="K245" s="423" t="str">
        <f>IF($B244="","",IF($B244+1&gt;'Qredits maandlasten'!$C$7,"",G245*I245*'Qredits maandlasten'!$C$8/12))</f>
        <v/>
      </c>
      <c r="L245" s="423" t="str">
        <f t="shared" si="17"/>
        <v/>
      </c>
      <c r="M245" s="423" t="str">
        <f t="shared" si="15"/>
        <v/>
      </c>
      <c r="N245" s="422"/>
      <c r="O245" s="424" t="str">
        <f>IF($B245="","",'Qredits maandlasten'!$C$8/12)</f>
        <v/>
      </c>
      <c r="P245" s="424" t="str">
        <f>IF($B245="","",'Qredits maandlasten'!$C$8/12*(POWER(1+'Qredits maandlasten'!$C$8/12,$B245-1+1)))</f>
        <v/>
      </c>
      <c r="Q245" s="424" t="str">
        <f t="shared" si="18"/>
        <v/>
      </c>
      <c r="R245" s="422"/>
      <c r="S245" s="423" t="str">
        <f t="shared" si="16"/>
        <v/>
      </c>
      <c r="T245" s="423" t="str">
        <f>IF(S245="","",J245/(POWER(1+'Qredits maandlasten'!$C$8/12,$B245-1+1)))</f>
        <v/>
      </c>
      <c r="U245" s="425" t="str">
        <f t="shared" si="19"/>
        <v/>
      </c>
      <c r="V245" s="423" t="str">
        <f>IF($B245="","",K245/(POWER(1+'Qredits maandlasten'!$C$8/12,$B245-1+1)))</f>
        <v/>
      </c>
      <c r="W245" s="422"/>
    </row>
    <row r="246" spans="1:23" s="427" customFormat="1" x14ac:dyDescent="0.2">
      <c r="A246" s="418"/>
      <c r="B246" s="419" t="str">
        <f>IF($B245="","",IF($B245+1&gt;'Qredits maandlasten'!$C$7,"",Schema!B245+1))</f>
        <v/>
      </c>
      <c r="C246" s="420" t="str">
        <f>IF($B245="","",IF($B245+1&gt;'Qredits maandlasten'!$C$7,"",EOMONTH(C245,0)+1))</f>
        <v/>
      </c>
      <c r="D246" s="418"/>
      <c r="E246" s="420" t="str">
        <f>IF($B245="","",IF($B245+1&gt;'Qredits maandlasten'!$C$7,"",F245+1))</f>
        <v/>
      </c>
      <c r="F246" s="420" t="str">
        <f>IF($B245="","",IF($B245+1&gt;'Qredits maandlasten'!$C$7,"",EOMONTH(C246,-1)))</f>
        <v/>
      </c>
      <c r="G246" s="421" t="str">
        <f>IF($B245="","",IF($B245+1&gt;'Qredits maandlasten'!$C$7,"",(_xlfn.DAYS(F246,E246)+1)/DAY(F246)))</f>
        <v/>
      </c>
      <c r="H246" s="422"/>
      <c r="I246" s="423" t="str">
        <f>IF($B245="","",IF($B245+1&gt;'Qredits maandlasten'!$C$7,"",I245-J245))</f>
        <v/>
      </c>
      <c r="J246" s="423" t="str">
        <f>IF($B245="","",IF($B245+1&gt;'Qredits maandlasten'!$C$7,"",IF(B245&lt;'Investering &amp; Financiering'!$E$52-1,0,IF('Qredits maandlasten'!$C$10="Lineair",'Qredits maandlasten'!$H$4,IF('Qredits maandlasten'!$C$10="Annuïteit",IFERROR('Qredits maandlasten'!$H$4-K246,0),0)))))</f>
        <v/>
      </c>
      <c r="K246" s="423" t="str">
        <f>IF($B245="","",IF($B245+1&gt;'Qredits maandlasten'!$C$7,"",G246*I246*'Qredits maandlasten'!$C$8/12))</f>
        <v/>
      </c>
      <c r="L246" s="423" t="str">
        <f t="shared" si="17"/>
        <v/>
      </c>
      <c r="M246" s="423" t="str">
        <f t="shared" si="15"/>
        <v/>
      </c>
      <c r="N246" s="422"/>
      <c r="O246" s="424" t="str">
        <f>IF($B246="","",'Qredits maandlasten'!$C$8/12)</f>
        <v/>
      </c>
      <c r="P246" s="424" t="str">
        <f>IF($B246="","",'Qredits maandlasten'!$C$8/12*(POWER(1+'Qredits maandlasten'!$C$8/12,$B246-1+1)))</f>
        <v/>
      </c>
      <c r="Q246" s="424" t="str">
        <f t="shared" si="18"/>
        <v/>
      </c>
      <c r="R246" s="422"/>
      <c r="S246" s="423" t="str">
        <f t="shared" si="16"/>
        <v/>
      </c>
      <c r="T246" s="423" t="str">
        <f>IF(S246="","",J246/(POWER(1+'Qredits maandlasten'!$C$8/12,$B246-1+1)))</f>
        <v/>
      </c>
      <c r="U246" s="425" t="str">
        <f t="shared" si="19"/>
        <v/>
      </c>
      <c r="V246" s="423" t="str">
        <f>IF($B246="","",K246/(POWER(1+'Qredits maandlasten'!$C$8/12,$B246-1+1)))</f>
        <v/>
      </c>
      <c r="W246" s="422"/>
    </row>
    <row r="247" spans="1:23" s="427" customFormat="1" x14ac:dyDescent="0.2">
      <c r="A247" s="418"/>
      <c r="B247" s="419" t="str">
        <f>IF($B246="","",IF($B246+1&gt;'Qredits maandlasten'!$C$7,"",Schema!B246+1))</f>
        <v/>
      </c>
      <c r="C247" s="420" t="str">
        <f>IF($B246="","",IF($B246+1&gt;'Qredits maandlasten'!$C$7,"",EOMONTH(C246,0)+1))</f>
        <v/>
      </c>
      <c r="D247" s="418"/>
      <c r="E247" s="420" t="str">
        <f>IF($B246="","",IF($B246+1&gt;'Qredits maandlasten'!$C$7,"",F246+1))</f>
        <v/>
      </c>
      <c r="F247" s="420" t="str">
        <f>IF($B246="","",IF($B246+1&gt;'Qredits maandlasten'!$C$7,"",EOMONTH(C247,-1)))</f>
        <v/>
      </c>
      <c r="G247" s="421" t="str">
        <f>IF($B246="","",IF($B246+1&gt;'Qredits maandlasten'!$C$7,"",(_xlfn.DAYS(F247,E247)+1)/DAY(F247)))</f>
        <v/>
      </c>
      <c r="H247" s="422"/>
      <c r="I247" s="423" t="str">
        <f>IF($B246="","",IF($B246+1&gt;'Qredits maandlasten'!$C$7,"",I246-J246))</f>
        <v/>
      </c>
      <c r="J247" s="423" t="str">
        <f>IF($B246="","",IF($B246+1&gt;'Qredits maandlasten'!$C$7,"",IF(B246&lt;'Investering &amp; Financiering'!$E$52-1,0,IF('Qredits maandlasten'!$C$10="Lineair",'Qredits maandlasten'!$H$4,IF('Qredits maandlasten'!$C$10="Annuïteit",IFERROR('Qredits maandlasten'!$H$4-K247,0),0)))))</f>
        <v/>
      </c>
      <c r="K247" s="423" t="str">
        <f>IF($B246="","",IF($B246+1&gt;'Qredits maandlasten'!$C$7,"",G247*I247*'Qredits maandlasten'!$C$8/12))</f>
        <v/>
      </c>
      <c r="L247" s="423" t="str">
        <f t="shared" si="17"/>
        <v/>
      </c>
      <c r="M247" s="423" t="str">
        <f t="shared" si="15"/>
        <v/>
      </c>
      <c r="N247" s="422"/>
      <c r="O247" s="424" t="str">
        <f>IF($B247="","",'Qredits maandlasten'!$C$8/12)</f>
        <v/>
      </c>
      <c r="P247" s="424" t="str">
        <f>IF($B247="","",'Qredits maandlasten'!$C$8/12*(POWER(1+'Qredits maandlasten'!$C$8/12,$B247-1+1)))</f>
        <v/>
      </c>
      <c r="Q247" s="424" t="str">
        <f t="shared" si="18"/>
        <v/>
      </c>
      <c r="R247" s="422"/>
      <c r="S247" s="423" t="str">
        <f t="shared" si="16"/>
        <v/>
      </c>
      <c r="T247" s="423" t="str">
        <f>IF(S247="","",J247/(POWER(1+'Qredits maandlasten'!$C$8/12,$B247-1+1)))</f>
        <v/>
      </c>
      <c r="U247" s="425" t="str">
        <f t="shared" si="19"/>
        <v/>
      </c>
      <c r="V247" s="423" t="str">
        <f>IF($B247="","",K247/(POWER(1+'Qredits maandlasten'!$C$8/12,$B247-1+1)))</f>
        <v/>
      </c>
      <c r="W247" s="422"/>
    </row>
    <row r="248" spans="1:23" s="427" customFormat="1" x14ac:dyDescent="0.2">
      <c r="A248" s="418"/>
      <c r="B248" s="419" t="str">
        <f>IF($B247="","",IF($B247+1&gt;'Qredits maandlasten'!$C$7,"",Schema!B247+1))</f>
        <v/>
      </c>
      <c r="C248" s="420" t="str">
        <f>IF($B247="","",IF($B247+1&gt;'Qredits maandlasten'!$C$7,"",EOMONTH(C247,0)+1))</f>
        <v/>
      </c>
      <c r="D248" s="418"/>
      <c r="E248" s="420" t="str">
        <f>IF($B247="","",IF($B247+1&gt;'Qredits maandlasten'!$C$7,"",F247+1))</f>
        <v/>
      </c>
      <c r="F248" s="420" t="str">
        <f>IF($B247="","",IF($B247+1&gt;'Qredits maandlasten'!$C$7,"",EOMONTH(C248,-1)))</f>
        <v/>
      </c>
      <c r="G248" s="421" t="str">
        <f>IF($B247="","",IF($B247+1&gt;'Qredits maandlasten'!$C$7,"",(_xlfn.DAYS(F248,E248)+1)/DAY(F248)))</f>
        <v/>
      </c>
      <c r="H248" s="422"/>
      <c r="I248" s="423" t="str">
        <f>IF($B247="","",IF($B247+1&gt;'Qredits maandlasten'!$C$7,"",I247-J247))</f>
        <v/>
      </c>
      <c r="J248" s="423" t="str">
        <f>IF($B247="","",IF($B247+1&gt;'Qredits maandlasten'!$C$7,"",IF(B247&lt;'Investering &amp; Financiering'!$E$52-1,0,IF('Qredits maandlasten'!$C$10="Lineair",'Qredits maandlasten'!$H$4,IF('Qredits maandlasten'!$C$10="Annuïteit",IFERROR('Qredits maandlasten'!$H$4-K248,0),0)))))</f>
        <v/>
      </c>
      <c r="K248" s="423" t="str">
        <f>IF($B247="","",IF($B247+1&gt;'Qredits maandlasten'!$C$7,"",G248*I248*'Qredits maandlasten'!$C$8/12))</f>
        <v/>
      </c>
      <c r="L248" s="423" t="str">
        <f t="shared" si="17"/>
        <v/>
      </c>
      <c r="M248" s="423" t="str">
        <f t="shared" si="15"/>
        <v/>
      </c>
      <c r="N248" s="422"/>
      <c r="O248" s="424" t="str">
        <f>IF($B248="","",'Qredits maandlasten'!$C$8/12)</f>
        <v/>
      </c>
      <c r="P248" s="424" t="str">
        <f>IF($B248="","",'Qredits maandlasten'!$C$8/12*(POWER(1+'Qredits maandlasten'!$C$8/12,$B248-1+1)))</f>
        <v/>
      </c>
      <c r="Q248" s="424" t="str">
        <f t="shared" si="18"/>
        <v/>
      </c>
      <c r="R248" s="422"/>
      <c r="S248" s="423" t="str">
        <f t="shared" si="16"/>
        <v/>
      </c>
      <c r="T248" s="423" t="str">
        <f>IF(S248="","",J248/(POWER(1+'Qredits maandlasten'!$C$8/12,$B248-1+1)))</f>
        <v/>
      </c>
      <c r="U248" s="425" t="str">
        <f t="shared" si="19"/>
        <v/>
      </c>
      <c r="V248" s="423" t="str">
        <f>IF($B248="","",K248/(POWER(1+'Qredits maandlasten'!$C$8/12,$B248-1+1)))</f>
        <v/>
      </c>
      <c r="W248" s="422"/>
    </row>
    <row r="249" spans="1:23" s="427" customFormat="1" x14ac:dyDescent="0.2">
      <c r="A249" s="418"/>
      <c r="B249" s="419" t="str">
        <f>IF($B248="","",IF($B248+1&gt;'Qredits maandlasten'!$C$7,"",Schema!B248+1))</f>
        <v/>
      </c>
      <c r="C249" s="420" t="str">
        <f>IF($B248="","",IF($B248+1&gt;'Qredits maandlasten'!$C$7,"",EOMONTH(C248,0)+1))</f>
        <v/>
      </c>
      <c r="D249" s="418"/>
      <c r="E249" s="420" t="str">
        <f>IF($B248="","",IF($B248+1&gt;'Qredits maandlasten'!$C$7,"",F248+1))</f>
        <v/>
      </c>
      <c r="F249" s="420" t="str">
        <f>IF($B248="","",IF($B248+1&gt;'Qredits maandlasten'!$C$7,"",EOMONTH(C249,-1)))</f>
        <v/>
      </c>
      <c r="G249" s="421" t="str">
        <f>IF($B248="","",IF($B248+1&gt;'Qredits maandlasten'!$C$7,"",(_xlfn.DAYS(F249,E249)+1)/DAY(F249)))</f>
        <v/>
      </c>
      <c r="H249" s="422"/>
      <c r="I249" s="423" t="str">
        <f>IF($B248="","",IF($B248+1&gt;'Qredits maandlasten'!$C$7,"",I248-J248))</f>
        <v/>
      </c>
      <c r="J249" s="423" t="str">
        <f>IF($B248="","",IF($B248+1&gt;'Qredits maandlasten'!$C$7,"",IF(B248&lt;'Investering &amp; Financiering'!$E$52-1,0,IF('Qredits maandlasten'!$C$10="Lineair",'Qredits maandlasten'!$H$4,IF('Qredits maandlasten'!$C$10="Annuïteit",IFERROR('Qredits maandlasten'!$H$4-K249,0),0)))))</f>
        <v/>
      </c>
      <c r="K249" s="423" t="str">
        <f>IF($B248="","",IF($B248+1&gt;'Qredits maandlasten'!$C$7,"",G249*I249*'Qredits maandlasten'!$C$8/12))</f>
        <v/>
      </c>
      <c r="L249" s="423" t="str">
        <f t="shared" si="17"/>
        <v/>
      </c>
      <c r="M249" s="423" t="str">
        <f t="shared" si="15"/>
        <v/>
      </c>
      <c r="N249" s="422"/>
      <c r="O249" s="424" t="str">
        <f>IF($B249="","",'Qredits maandlasten'!$C$8/12)</f>
        <v/>
      </c>
      <c r="P249" s="424" t="str">
        <f>IF($B249="","",'Qredits maandlasten'!$C$8/12*(POWER(1+'Qredits maandlasten'!$C$8/12,$B249-1+1)))</f>
        <v/>
      </c>
      <c r="Q249" s="424" t="str">
        <f t="shared" si="18"/>
        <v/>
      </c>
      <c r="R249" s="422"/>
      <c r="S249" s="423" t="str">
        <f t="shared" si="16"/>
        <v/>
      </c>
      <c r="T249" s="423" t="str">
        <f>IF(S249="","",J249/(POWER(1+'Qredits maandlasten'!$C$8/12,$B249-1+1)))</f>
        <v/>
      </c>
      <c r="U249" s="425" t="str">
        <f t="shared" si="19"/>
        <v/>
      </c>
      <c r="V249" s="423" t="str">
        <f>IF($B249="","",K249/(POWER(1+'Qredits maandlasten'!$C$8/12,$B249-1+1)))</f>
        <v/>
      </c>
      <c r="W249" s="422"/>
    </row>
    <row r="250" spans="1:23" s="427" customFormat="1" x14ac:dyDescent="0.2">
      <c r="A250" s="418"/>
      <c r="B250" s="419" t="str">
        <f>IF($B249="","",IF($B249+1&gt;'Qredits maandlasten'!$C$7,"",Schema!B249+1))</f>
        <v/>
      </c>
      <c r="C250" s="420" t="str">
        <f>IF($B249="","",IF($B249+1&gt;'Qredits maandlasten'!$C$7,"",EOMONTH(C249,0)+1))</f>
        <v/>
      </c>
      <c r="D250" s="418"/>
      <c r="E250" s="420" t="str">
        <f>IF($B249="","",IF($B249+1&gt;'Qredits maandlasten'!$C$7,"",F249+1))</f>
        <v/>
      </c>
      <c r="F250" s="420" t="str">
        <f>IF($B249="","",IF($B249+1&gt;'Qredits maandlasten'!$C$7,"",EOMONTH(C250,-1)))</f>
        <v/>
      </c>
      <c r="G250" s="421" t="str">
        <f>IF($B249="","",IF($B249+1&gt;'Qredits maandlasten'!$C$7,"",(_xlfn.DAYS(F250,E250)+1)/DAY(F250)))</f>
        <v/>
      </c>
      <c r="H250" s="422"/>
      <c r="I250" s="423" t="str">
        <f>IF($B249="","",IF($B249+1&gt;'Qredits maandlasten'!$C$7,"",I249-J249))</f>
        <v/>
      </c>
      <c r="J250" s="423" t="str">
        <f>IF($B249="","",IF($B249+1&gt;'Qredits maandlasten'!$C$7,"",IF(B249&lt;'Investering &amp; Financiering'!$E$52-1,0,IF('Qredits maandlasten'!$C$10="Lineair",'Qredits maandlasten'!$H$4,IF('Qredits maandlasten'!$C$10="Annuïteit",IFERROR('Qredits maandlasten'!$H$4-K250,0),0)))))</f>
        <v/>
      </c>
      <c r="K250" s="423" t="str">
        <f>IF($B249="","",IF($B249+1&gt;'Qredits maandlasten'!$C$7,"",G250*I250*'Qredits maandlasten'!$C$8/12))</f>
        <v/>
      </c>
      <c r="L250" s="423" t="str">
        <f t="shared" si="17"/>
        <v/>
      </c>
      <c r="M250" s="423" t="str">
        <f t="shared" si="15"/>
        <v/>
      </c>
      <c r="N250" s="422"/>
      <c r="O250" s="424" t="str">
        <f>IF($B250="","",'Qredits maandlasten'!$C$8/12)</f>
        <v/>
      </c>
      <c r="P250" s="424" t="str">
        <f>IF($B250="","",'Qredits maandlasten'!$C$8/12*(POWER(1+'Qredits maandlasten'!$C$8/12,$B250-1+1)))</f>
        <v/>
      </c>
      <c r="Q250" s="424" t="str">
        <f t="shared" si="18"/>
        <v/>
      </c>
      <c r="R250" s="422"/>
      <c r="S250" s="423" t="str">
        <f t="shared" si="16"/>
        <v/>
      </c>
      <c r="T250" s="423" t="str">
        <f>IF(S250="","",J250/(POWER(1+'Qredits maandlasten'!$C$8/12,$B250-1+1)))</f>
        <v/>
      </c>
      <c r="U250" s="425" t="str">
        <f t="shared" si="19"/>
        <v/>
      </c>
      <c r="V250" s="423" t="str">
        <f>IF($B250="","",K250/(POWER(1+'Qredits maandlasten'!$C$8/12,$B250-1+1)))</f>
        <v/>
      </c>
      <c r="W250" s="422"/>
    </row>
    <row r="251" spans="1:23" s="427" customFormat="1" x14ac:dyDescent="0.2">
      <c r="A251" s="418"/>
      <c r="B251" s="419" t="str">
        <f>IF($B250="","",IF($B250+1&gt;'Qredits maandlasten'!$C$7,"",Schema!B250+1))</f>
        <v/>
      </c>
      <c r="C251" s="420" t="str">
        <f>IF($B250="","",IF($B250+1&gt;'Qredits maandlasten'!$C$7,"",EOMONTH(C250,0)+1))</f>
        <v/>
      </c>
      <c r="D251" s="418"/>
      <c r="E251" s="420" t="str">
        <f>IF($B250="","",IF($B250+1&gt;'Qredits maandlasten'!$C$7,"",F250+1))</f>
        <v/>
      </c>
      <c r="F251" s="420" t="str">
        <f>IF($B250="","",IF($B250+1&gt;'Qredits maandlasten'!$C$7,"",EOMONTH(C251,-1)))</f>
        <v/>
      </c>
      <c r="G251" s="421" t="str">
        <f>IF($B250="","",IF($B250+1&gt;'Qredits maandlasten'!$C$7,"",(_xlfn.DAYS(F251,E251)+1)/DAY(F251)))</f>
        <v/>
      </c>
      <c r="H251" s="422"/>
      <c r="I251" s="423" t="str">
        <f>IF($B250="","",IF($B250+1&gt;'Qredits maandlasten'!$C$7,"",I250-J250))</f>
        <v/>
      </c>
      <c r="J251" s="423" t="str">
        <f>IF($B250="","",IF($B250+1&gt;'Qredits maandlasten'!$C$7,"",IF(B250&lt;'Investering &amp; Financiering'!$E$52-1,0,IF('Qredits maandlasten'!$C$10="Lineair",'Qredits maandlasten'!$H$4,IF('Qredits maandlasten'!$C$10="Annuïteit",IFERROR('Qredits maandlasten'!$H$4-K251,0),0)))))</f>
        <v/>
      </c>
      <c r="K251" s="423" t="str">
        <f>IF($B250="","",IF($B250+1&gt;'Qredits maandlasten'!$C$7,"",G251*I251*'Qredits maandlasten'!$C$8/12))</f>
        <v/>
      </c>
      <c r="L251" s="423" t="str">
        <f t="shared" si="17"/>
        <v/>
      </c>
      <c r="M251" s="423" t="str">
        <f t="shared" si="15"/>
        <v/>
      </c>
      <c r="N251" s="422"/>
      <c r="O251" s="424" t="str">
        <f>IF($B251="","",'Qredits maandlasten'!$C$8/12)</f>
        <v/>
      </c>
      <c r="P251" s="424" t="str">
        <f>IF($B251="","",'Qredits maandlasten'!$C$8/12*(POWER(1+'Qredits maandlasten'!$C$8/12,$B251-1+1)))</f>
        <v/>
      </c>
      <c r="Q251" s="424" t="str">
        <f t="shared" si="18"/>
        <v/>
      </c>
      <c r="R251" s="422"/>
      <c r="S251" s="423" t="str">
        <f t="shared" si="16"/>
        <v/>
      </c>
      <c r="T251" s="423" t="str">
        <f>IF(S251="","",J251/(POWER(1+'Qredits maandlasten'!$C$8/12,$B251-1+1)))</f>
        <v/>
      </c>
      <c r="U251" s="425" t="str">
        <f t="shared" si="19"/>
        <v/>
      </c>
      <c r="V251" s="423" t="str">
        <f>IF($B251="","",K251/(POWER(1+'Qredits maandlasten'!$C$8/12,$B251-1+1)))</f>
        <v/>
      </c>
      <c r="W251" s="422"/>
    </row>
    <row r="252" spans="1:23" s="427" customFormat="1" x14ac:dyDescent="0.2">
      <c r="A252" s="418"/>
      <c r="B252" s="419" t="str">
        <f>IF($B251="","",IF($B251+1&gt;'Qredits maandlasten'!$C$7,"",Schema!B251+1))</f>
        <v/>
      </c>
      <c r="C252" s="420" t="str">
        <f>IF($B251="","",IF($B251+1&gt;'Qredits maandlasten'!$C$7,"",EOMONTH(C251,0)+1))</f>
        <v/>
      </c>
      <c r="D252" s="418"/>
      <c r="E252" s="420" t="str">
        <f>IF($B251="","",IF($B251+1&gt;'Qredits maandlasten'!$C$7,"",F251+1))</f>
        <v/>
      </c>
      <c r="F252" s="420" t="str">
        <f>IF($B251="","",IF($B251+1&gt;'Qredits maandlasten'!$C$7,"",EOMONTH(C252,-1)))</f>
        <v/>
      </c>
      <c r="G252" s="421" t="str">
        <f>IF($B251="","",IF($B251+1&gt;'Qredits maandlasten'!$C$7,"",(_xlfn.DAYS(F252,E252)+1)/DAY(F252)))</f>
        <v/>
      </c>
      <c r="H252" s="422"/>
      <c r="I252" s="423" t="str">
        <f>IF($B251="","",IF($B251+1&gt;'Qredits maandlasten'!$C$7,"",I251-J251))</f>
        <v/>
      </c>
      <c r="J252" s="423" t="str">
        <f>IF($B251="","",IF($B251+1&gt;'Qredits maandlasten'!$C$7,"",IF(B251&lt;'Investering &amp; Financiering'!$E$52-1,0,IF('Qredits maandlasten'!$C$10="Lineair",'Qredits maandlasten'!$H$4,IF('Qredits maandlasten'!$C$10="Annuïteit",IFERROR('Qredits maandlasten'!$H$4-K252,0),0)))))</f>
        <v/>
      </c>
      <c r="K252" s="423" t="str">
        <f>IF($B251="","",IF($B251+1&gt;'Qredits maandlasten'!$C$7,"",G252*I252*'Qredits maandlasten'!$C$8/12))</f>
        <v/>
      </c>
      <c r="L252" s="423" t="str">
        <f t="shared" si="17"/>
        <v/>
      </c>
      <c r="M252" s="423" t="str">
        <f t="shared" si="15"/>
        <v/>
      </c>
      <c r="N252" s="422"/>
      <c r="O252" s="424" t="str">
        <f>IF($B252="","",'Qredits maandlasten'!$C$8/12)</f>
        <v/>
      </c>
      <c r="P252" s="424" t="str">
        <f>IF($B252="","",'Qredits maandlasten'!$C$8/12*(POWER(1+'Qredits maandlasten'!$C$8/12,$B252-1+1)))</f>
        <v/>
      </c>
      <c r="Q252" s="424" t="str">
        <f t="shared" si="18"/>
        <v/>
      </c>
      <c r="R252" s="422"/>
      <c r="S252" s="423" t="str">
        <f t="shared" si="16"/>
        <v/>
      </c>
      <c r="T252" s="423" t="str">
        <f>IF(S252="","",J252/(POWER(1+'Qredits maandlasten'!$C$8/12,$B252-1+1)))</f>
        <v/>
      </c>
      <c r="U252" s="425" t="str">
        <f t="shared" si="19"/>
        <v/>
      </c>
      <c r="V252" s="423" t="str">
        <f>IF($B252="","",K252/(POWER(1+'Qredits maandlasten'!$C$8/12,$B252-1+1)))</f>
        <v/>
      </c>
      <c r="W252" s="422"/>
    </row>
    <row r="253" spans="1:23" s="427" customFormat="1" x14ac:dyDescent="0.2">
      <c r="A253" s="418"/>
      <c r="B253" s="419" t="str">
        <f>IF($B252="","",IF($B252+1&gt;'Qredits maandlasten'!$C$7,"",Schema!B252+1))</f>
        <v/>
      </c>
      <c r="C253" s="420" t="str">
        <f>IF($B252="","",IF($B252+1&gt;'Qredits maandlasten'!$C$7,"",EOMONTH(C252,0)+1))</f>
        <v/>
      </c>
      <c r="D253" s="418"/>
      <c r="E253" s="420" t="str">
        <f>IF($B252="","",IF($B252+1&gt;'Qredits maandlasten'!$C$7,"",F252+1))</f>
        <v/>
      </c>
      <c r="F253" s="420" t="str">
        <f>IF($B252="","",IF($B252+1&gt;'Qredits maandlasten'!$C$7,"",EOMONTH(C253,-1)))</f>
        <v/>
      </c>
      <c r="G253" s="421" t="str">
        <f>IF($B252="","",IF($B252+1&gt;'Qredits maandlasten'!$C$7,"",(_xlfn.DAYS(F253,E253)+1)/DAY(F253)))</f>
        <v/>
      </c>
      <c r="H253" s="422"/>
      <c r="I253" s="423" t="str">
        <f>IF($B252="","",IF($B252+1&gt;'Qredits maandlasten'!$C$7,"",I252-J252))</f>
        <v/>
      </c>
      <c r="J253" s="423" t="str">
        <f>IF($B252="","",IF($B252+1&gt;'Qredits maandlasten'!$C$7,"",IF(B252&lt;'Investering &amp; Financiering'!$E$52-1,0,IF('Qredits maandlasten'!$C$10="Lineair",'Qredits maandlasten'!$H$4,IF('Qredits maandlasten'!$C$10="Annuïteit",IFERROR('Qredits maandlasten'!$H$4-K253,0),0)))))</f>
        <v/>
      </c>
      <c r="K253" s="423" t="str">
        <f>IF($B252="","",IF($B252+1&gt;'Qredits maandlasten'!$C$7,"",G253*I253*'Qredits maandlasten'!$C$8/12))</f>
        <v/>
      </c>
      <c r="L253" s="423" t="str">
        <f t="shared" si="17"/>
        <v/>
      </c>
      <c r="M253" s="423" t="str">
        <f t="shared" si="15"/>
        <v/>
      </c>
      <c r="N253" s="422"/>
      <c r="O253" s="424" t="str">
        <f>IF($B253="","",'Qredits maandlasten'!$C$8/12)</f>
        <v/>
      </c>
      <c r="P253" s="424" t="str">
        <f>IF($B253="","",'Qredits maandlasten'!$C$8/12*(POWER(1+'Qredits maandlasten'!$C$8/12,$B253-1+1)))</f>
        <v/>
      </c>
      <c r="Q253" s="424" t="str">
        <f t="shared" si="18"/>
        <v/>
      </c>
      <c r="R253" s="422"/>
      <c r="S253" s="423" t="str">
        <f t="shared" si="16"/>
        <v/>
      </c>
      <c r="T253" s="423" t="str">
        <f>IF(S253="","",J253/(POWER(1+'Qredits maandlasten'!$C$8/12,$B253-1+1)))</f>
        <v/>
      </c>
      <c r="U253" s="425" t="str">
        <f t="shared" si="19"/>
        <v/>
      </c>
      <c r="V253" s="423" t="str">
        <f>IF($B253="","",K253/(POWER(1+'Qredits maandlasten'!$C$8/12,$B253-1+1)))</f>
        <v/>
      </c>
      <c r="W253" s="422"/>
    </row>
    <row r="254" spans="1:23" s="427" customFormat="1" x14ac:dyDescent="0.2">
      <c r="A254" s="418"/>
      <c r="B254" s="419" t="str">
        <f>IF($B253="","",IF($B253+1&gt;'Qredits maandlasten'!$C$7,"",Schema!B253+1))</f>
        <v/>
      </c>
      <c r="C254" s="420" t="str">
        <f>IF($B253="","",IF($B253+1&gt;'Qredits maandlasten'!$C$7,"",EOMONTH(C253,0)+1))</f>
        <v/>
      </c>
      <c r="D254" s="418"/>
      <c r="E254" s="420" t="str">
        <f>IF($B253="","",IF($B253+1&gt;'Qredits maandlasten'!$C$7,"",F253+1))</f>
        <v/>
      </c>
      <c r="F254" s="420" t="str">
        <f>IF($B253="","",IF($B253+1&gt;'Qredits maandlasten'!$C$7,"",EOMONTH(C254,-1)))</f>
        <v/>
      </c>
      <c r="G254" s="421" t="str">
        <f>IF($B253="","",IF($B253+1&gt;'Qredits maandlasten'!$C$7,"",(_xlfn.DAYS(F254,E254)+1)/DAY(F254)))</f>
        <v/>
      </c>
      <c r="H254" s="422"/>
      <c r="I254" s="423" t="str">
        <f>IF($B253="","",IF($B253+1&gt;'Qredits maandlasten'!$C$7,"",I253-J253))</f>
        <v/>
      </c>
      <c r="J254" s="423" t="str">
        <f>IF($B253="","",IF($B253+1&gt;'Qredits maandlasten'!$C$7,"",IF(B253&lt;'Investering &amp; Financiering'!$E$52-1,0,IF('Qredits maandlasten'!$C$10="Lineair",'Qredits maandlasten'!$H$4,IF('Qredits maandlasten'!$C$10="Annuïteit",IFERROR('Qredits maandlasten'!$H$4-K254,0),0)))))</f>
        <v/>
      </c>
      <c r="K254" s="423" t="str">
        <f>IF($B253="","",IF($B253+1&gt;'Qredits maandlasten'!$C$7,"",G254*I254*'Qredits maandlasten'!$C$8/12))</f>
        <v/>
      </c>
      <c r="L254" s="423" t="str">
        <f t="shared" si="17"/>
        <v/>
      </c>
      <c r="M254" s="423" t="str">
        <f t="shared" si="15"/>
        <v/>
      </c>
      <c r="N254" s="422"/>
      <c r="O254" s="424" t="str">
        <f>IF($B254="","",'Qredits maandlasten'!$C$8/12)</f>
        <v/>
      </c>
      <c r="P254" s="424" t="str">
        <f>IF($B254="","",'Qredits maandlasten'!$C$8/12*(POWER(1+'Qredits maandlasten'!$C$8/12,$B254-1+1)))</f>
        <v/>
      </c>
      <c r="Q254" s="424" t="str">
        <f t="shared" si="18"/>
        <v/>
      </c>
      <c r="R254" s="422"/>
      <c r="S254" s="423" t="str">
        <f t="shared" si="16"/>
        <v/>
      </c>
      <c r="T254" s="423" t="str">
        <f>IF(S254="","",J254/(POWER(1+'Qredits maandlasten'!$C$8/12,$B254-1+1)))</f>
        <v/>
      </c>
      <c r="U254" s="425" t="str">
        <f t="shared" si="19"/>
        <v/>
      </c>
      <c r="V254" s="423" t="str">
        <f>IF($B254="","",K254/(POWER(1+'Qredits maandlasten'!$C$8/12,$B254-1+1)))</f>
        <v/>
      </c>
      <c r="W254" s="422"/>
    </row>
    <row r="255" spans="1:23" s="427" customFormat="1" x14ac:dyDescent="0.2">
      <c r="A255" s="418"/>
      <c r="B255" s="419" t="str">
        <f>IF($B254="","",IF($B254+1&gt;'Qredits maandlasten'!$C$7,"",Schema!B254+1))</f>
        <v/>
      </c>
      <c r="C255" s="420" t="str">
        <f>IF($B254="","",IF($B254+1&gt;'Qredits maandlasten'!$C$7,"",EOMONTH(C254,0)+1))</f>
        <v/>
      </c>
      <c r="D255" s="418"/>
      <c r="E255" s="420" t="str">
        <f>IF($B254="","",IF($B254+1&gt;'Qredits maandlasten'!$C$7,"",F254+1))</f>
        <v/>
      </c>
      <c r="F255" s="420" t="str">
        <f>IF($B254="","",IF($B254+1&gt;'Qredits maandlasten'!$C$7,"",EOMONTH(C255,-1)))</f>
        <v/>
      </c>
      <c r="G255" s="421" t="str">
        <f>IF($B254="","",IF($B254+1&gt;'Qredits maandlasten'!$C$7,"",(_xlfn.DAYS(F255,E255)+1)/DAY(F255)))</f>
        <v/>
      </c>
      <c r="H255" s="422"/>
      <c r="I255" s="423" t="str">
        <f>IF($B254="","",IF($B254+1&gt;'Qredits maandlasten'!$C$7,"",I254-J254))</f>
        <v/>
      </c>
      <c r="J255" s="423" t="str">
        <f>IF($B254="","",IF($B254+1&gt;'Qredits maandlasten'!$C$7,"",IF(B254&lt;'Investering &amp; Financiering'!$E$52-1,0,IF('Qredits maandlasten'!$C$10="Lineair",'Qredits maandlasten'!$H$4,IF('Qredits maandlasten'!$C$10="Annuïteit",IFERROR('Qredits maandlasten'!$H$4-K255,0),0)))))</f>
        <v/>
      </c>
      <c r="K255" s="423" t="str">
        <f>IF($B254="","",IF($B254+1&gt;'Qredits maandlasten'!$C$7,"",G255*I255*'Qredits maandlasten'!$C$8/12))</f>
        <v/>
      </c>
      <c r="L255" s="423" t="str">
        <f t="shared" si="17"/>
        <v/>
      </c>
      <c r="M255" s="423" t="str">
        <f t="shared" si="15"/>
        <v/>
      </c>
      <c r="N255" s="422"/>
      <c r="O255" s="424" t="str">
        <f>IF($B255="","",'Qredits maandlasten'!$C$8/12)</f>
        <v/>
      </c>
      <c r="P255" s="424" t="str">
        <f>IF($B255="","",'Qredits maandlasten'!$C$8/12*(POWER(1+'Qredits maandlasten'!$C$8/12,$B255-1+1)))</f>
        <v/>
      </c>
      <c r="Q255" s="424" t="str">
        <f t="shared" si="18"/>
        <v/>
      </c>
      <c r="R255" s="422"/>
      <c r="S255" s="423" t="str">
        <f t="shared" si="16"/>
        <v/>
      </c>
      <c r="T255" s="423" t="str">
        <f>IF(S255="","",J255/(POWER(1+'Qredits maandlasten'!$C$8/12,$B255-1+1)))</f>
        <v/>
      </c>
      <c r="U255" s="425" t="str">
        <f t="shared" si="19"/>
        <v/>
      </c>
      <c r="V255" s="423" t="str">
        <f>IF($B255="","",K255/(POWER(1+'Qredits maandlasten'!$C$8/12,$B255-1+1)))</f>
        <v/>
      </c>
      <c r="W255" s="422"/>
    </row>
    <row r="256" spans="1:23" s="427" customFormat="1" x14ac:dyDescent="0.2">
      <c r="A256" s="418"/>
      <c r="B256" s="419" t="str">
        <f>IF($B255="","",IF($B255+1&gt;'Qredits maandlasten'!$C$7,"",Schema!B255+1))</f>
        <v/>
      </c>
      <c r="C256" s="420" t="str">
        <f>IF($B255="","",IF($B255+1&gt;'Qredits maandlasten'!$C$7,"",EOMONTH(C255,0)+1))</f>
        <v/>
      </c>
      <c r="D256" s="418"/>
      <c r="E256" s="420" t="str">
        <f>IF($B255="","",IF($B255+1&gt;'Qredits maandlasten'!$C$7,"",F255+1))</f>
        <v/>
      </c>
      <c r="F256" s="420" t="str">
        <f>IF($B255="","",IF($B255+1&gt;'Qredits maandlasten'!$C$7,"",EOMONTH(C256,-1)))</f>
        <v/>
      </c>
      <c r="G256" s="421" t="str">
        <f>IF($B255="","",IF($B255+1&gt;'Qredits maandlasten'!$C$7,"",(_xlfn.DAYS(F256,E256)+1)/DAY(F256)))</f>
        <v/>
      </c>
      <c r="H256" s="422"/>
      <c r="I256" s="423" t="str">
        <f>IF($B255="","",IF($B255+1&gt;'Qredits maandlasten'!$C$7,"",I255-J255))</f>
        <v/>
      </c>
      <c r="J256" s="423" t="str">
        <f>IF($B255="","",IF($B255+1&gt;'Qredits maandlasten'!$C$7,"",IF(B255&lt;'Investering &amp; Financiering'!$E$52-1,0,IF('Qredits maandlasten'!$C$10="Lineair",'Qredits maandlasten'!$H$4,IF('Qredits maandlasten'!$C$10="Annuïteit",IFERROR('Qredits maandlasten'!$H$4-K256,0),0)))))</f>
        <v/>
      </c>
      <c r="K256" s="423" t="str">
        <f>IF($B255="","",IF($B255+1&gt;'Qredits maandlasten'!$C$7,"",G256*I256*'Qredits maandlasten'!$C$8/12))</f>
        <v/>
      </c>
      <c r="L256" s="423" t="str">
        <f t="shared" si="17"/>
        <v/>
      </c>
      <c r="M256" s="423" t="str">
        <f t="shared" si="15"/>
        <v/>
      </c>
      <c r="N256" s="422"/>
      <c r="O256" s="424" t="str">
        <f>IF($B256="","",'Qredits maandlasten'!$C$8/12)</f>
        <v/>
      </c>
      <c r="P256" s="424" t="str">
        <f>IF($B256="","",'Qredits maandlasten'!$C$8/12*(POWER(1+'Qredits maandlasten'!$C$8/12,$B256-1+1)))</f>
        <v/>
      </c>
      <c r="Q256" s="424" t="str">
        <f t="shared" si="18"/>
        <v/>
      </c>
      <c r="R256" s="422"/>
      <c r="S256" s="423" t="str">
        <f t="shared" si="16"/>
        <v/>
      </c>
      <c r="T256" s="423" t="str">
        <f>IF(S256="","",J256/(POWER(1+'Qredits maandlasten'!$C$8/12,$B256-1+1)))</f>
        <v/>
      </c>
      <c r="U256" s="425" t="str">
        <f t="shared" si="19"/>
        <v/>
      </c>
      <c r="V256" s="423" t="str">
        <f>IF($B256="","",K256/(POWER(1+'Qredits maandlasten'!$C$8/12,$B256-1+1)))</f>
        <v/>
      </c>
      <c r="W256" s="422"/>
    </row>
    <row r="257" spans="1:23" s="427" customFormat="1" x14ac:dyDescent="0.2">
      <c r="A257" s="418"/>
      <c r="B257" s="419" t="str">
        <f>IF($B256="","",IF($B256+1&gt;'Qredits maandlasten'!$C$7,"",Schema!B256+1))</f>
        <v/>
      </c>
      <c r="C257" s="420" t="str">
        <f>IF($B256="","",IF($B256+1&gt;'Qredits maandlasten'!$C$7,"",EOMONTH(C256,0)+1))</f>
        <v/>
      </c>
      <c r="D257" s="418"/>
      <c r="E257" s="420" t="str">
        <f>IF($B256="","",IF($B256+1&gt;'Qredits maandlasten'!$C$7,"",F256+1))</f>
        <v/>
      </c>
      <c r="F257" s="420" t="str">
        <f>IF($B256="","",IF($B256+1&gt;'Qredits maandlasten'!$C$7,"",EOMONTH(C257,-1)))</f>
        <v/>
      </c>
      <c r="G257" s="421" t="str">
        <f>IF($B256="","",IF($B256+1&gt;'Qredits maandlasten'!$C$7,"",(_xlfn.DAYS(F257,E257)+1)/DAY(F257)))</f>
        <v/>
      </c>
      <c r="H257" s="422"/>
      <c r="I257" s="423" t="str">
        <f>IF($B256="","",IF($B256+1&gt;'Qredits maandlasten'!$C$7,"",I256-J256))</f>
        <v/>
      </c>
      <c r="J257" s="423" t="str">
        <f>IF($B256="","",IF($B256+1&gt;'Qredits maandlasten'!$C$7,"",IF(B256&lt;'Investering &amp; Financiering'!$E$52-1,0,IF('Qredits maandlasten'!$C$10="Lineair",'Qredits maandlasten'!$H$4,IF('Qredits maandlasten'!$C$10="Annuïteit",IFERROR('Qredits maandlasten'!$H$4-K257,0),0)))))</f>
        <v/>
      </c>
      <c r="K257" s="423" t="str">
        <f>IF($B256="","",IF($B256+1&gt;'Qredits maandlasten'!$C$7,"",G257*I257*'Qredits maandlasten'!$C$8/12))</f>
        <v/>
      </c>
      <c r="L257" s="423" t="str">
        <f t="shared" si="17"/>
        <v/>
      </c>
      <c r="M257" s="423" t="str">
        <f t="shared" si="15"/>
        <v/>
      </c>
      <c r="N257" s="422"/>
      <c r="O257" s="424" t="str">
        <f>IF($B257="","",'Qredits maandlasten'!$C$8/12)</f>
        <v/>
      </c>
      <c r="P257" s="424" t="str">
        <f>IF($B257="","",'Qredits maandlasten'!$C$8/12*(POWER(1+'Qredits maandlasten'!$C$8/12,$B257-1+1)))</f>
        <v/>
      </c>
      <c r="Q257" s="424" t="str">
        <f t="shared" si="18"/>
        <v/>
      </c>
      <c r="R257" s="422"/>
      <c r="S257" s="423" t="str">
        <f t="shared" si="16"/>
        <v/>
      </c>
      <c r="T257" s="423" t="str">
        <f>IF(S257="","",J257/(POWER(1+'Qredits maandlasten'!$C$8/12,$B257-1+1)))</f>
        <v/>
      </c>
      <c r="U257" s="425" t="str">
        <f t="shared" si="19"/>
        <v/>
      </c>
      <c r="V257" s="423" t="str">
        <f>IF($B257="","",K257/(POWER(1+'Qredits maandlasten'!$C$8/12,$B257-1+1)))</f>
        <v/>
      </c>
      <c r="W257" s="422"/>
    </row>
    <row r="258" spans="1:23" s="427" customFormat="1" x14ac:dyDescent="0.2">
      <c r="A258" s="418"/>
      <c r="B258" s="419" t="str">
        <f>IF($B257="","",IF($B257+1&gt;'Qredits maandlasten'!$C$7,"",Schema!B257+1))</f>
        <v/>
      </c>
      <c r="C258" s="420" t="str">
        <f>IF($B257="","",IF($B257+1&gt;'Qredits maandlasten'!$C$7,"",EOMONTH(C257,0)+1))</f>
        <v/>
      </c>
      <c r="D258" s="418"/>
      <c r="E258" s="420" t="str">
        <f>IF($B257="","",IF($B257+1&gt;'Qredits maandlasten'!$C$7,"",F257+1))</f>
        <v/>
      </c>
      <c r="F258" s="420" t="str">
        <f>IF($B257="","",IF($B257+1&gt;'Qredits maandlasten'!$C$7,"",EOMONTH(C258,-1)))</f>
        <v/>
      </c>
      <c r="G258" s="421" t="str">
        <f>IF($B257="","",IF($B257+1&gt;'Qredits maandlasten'!$C$7,"",(_xlfn.DAYS(F258,E258)+1)/DAY(F258)))</f>
        <v/>
      </c>
      <c r="H258" s="422"/>
      <c r="I258" s="423" t="str">
        <f>IF($B257="","",IF($B257+1&gt;'Qredits maandlasten'!$C$7,"",I257-J257))</f>
        <v/>
      </c>
      <c r="J258" s="423" t="str">
        <f>IF($B257="","",IF($B257+1&gt;'Qredits maandlasten'!$C$7,"",IF(B257&lt;'Investering &amp; Financiering'!$E$52-1,0,IF('Qredits maandlasten'!$C$10="Lineair",'Qredits maandlasten'!$H$4,IF('Qredits maandlasten'!$C$10="Annuïteit",IFERROR('Qredits maandlasten'!$H$4-K258,0),0)))))</f>
        <v/>
      </c>
      <c r="K258" s="423" t="str">
        <f>IF($B257="","",IF($B257+1&gt;'Qredits maandlasten'!$C$7,"",G258*I258*'Qredits maandlasten'!$C$8/12))</f>
        <v/>
      </c>
      <c r="L258" s="423" t="str">
        <f t="shared" si="17"/>
        <v/>
      </c>
      <c r="M258" s="423" t="str">
        <f t="shared" si="15"/>
        <v/>
      </c>
      <c r="N258" s="422"/>
      <c r="O258" s="424" t="str">
        <f>IF($B258="","",'Qredits maandlasten'!$C$8/12)</f>
        <v/>
      </c>
      <c r="P258" s="424" t="str">
        <f>IF($B258="","",'Qredits maandlasten'!$C$8/12*(POWER(1+'Qredits maandlasten'!$C$8/12,$B258-1+1)))</f>
        <v/>
      </c>
      <c r="Q258" s="424" t="str">
        <f t="shared" si="18"/>
        <v/>
      </c>
      <c r="R258" s="422"/>
      <c r="S258" s="423" t="str">
        <f t="shared" si="16"/>
        <v/>
      </c>
      <c r="T258" s="423" t="str">
        <f>IF(S258="","",J258/(POWER(1+'Qredits maandlasten'!$C$8/12,$B258-1+1)))</f>
        <v/>
      </c>
      <c r="U258" s="425" t="str">
        <f t="shared" si="19"/>
        <v/>
      </c>
      <c r="V258" s="423" t="str">
        <f>IF($B258="","",K258/(POWER(1+'Qredits maandlasten'!$C$8/12,$B258-1+1)))</f>
        <v/>
      </c>
      <c r="W258" s="422"/>
    </row>
    <row r="259" spans="1:23" s="427" customFormat="1" x14ac:dyDescent="0.2">
      <c r="A259" s="418"/>
      <c r="B259" s="419" t="str">
        <f>IF($B258="","",IF($B258+1&gt;'Qredits maandlasten'!$C$7,"",Schema!B258+1))</f>
        <v/>
      </c>
      <c r="C259" s="420" t="str">
        <f>IF($B258="","",IF($B258+1&gt;'Qredits maandlasten'!$C$7,"",EOMONTH(C258,0)+1))</f>
        <v/>
      </c>
      <c r="D259" s="418"/>
      <c r="E259" s="420" t="str">
        <f>IF($B258="","",IF($B258+1&gt;'Qredits maandlasten'!$C$7,"",F258+1))</f>
        <v/>
      </c>
      <c r="F259" s="420" t="str">
        <f>IF($B258="","",IF($B258+1&gt;'Qredits maandlasten'!$C$7,"",EOMONTH(C259,-1)))</f>
        <v/>
      </c>
      <c r="G259" s="421" t="str">
        <f>IF($B258="","",IF($B258+1&gt;'Qredits maandlasten'!$C$7,"",(_xlfn.DAYS(F259,E259)+1)/DAY(F259)))</f>
        <v/>
      </c>
      <c r="H259" s="422"/>
      <c r="I259" s="423" t="str">
        <f>IF($B258="","",IF($B258+1&gt;'Qredits maandlasten'!$C$7,"",I258-J258))</f>
        <v/>
      </c>
      <c r="J259" s="423" t="str">
        <f>IF($B258="","",IF($B258+1&gt;'Qredits maandlasten'!$C$7,"",IF(B258&lt;'Investering &amp; Financiering'!$E$52-1,0,IF('Qredits maandlasten'!$C$10="Lineair",'Qredits maandlasten'!$H$4,IF('Qredits maandlasten'!$C$10="Annuïteit",IFERROR('Qredits maandlasten'!$H$4-K259,0),0)))))</f>
        <v/>
      </c>
      <c r="K259" s="423" t="str">
        <f>IF($B258="","",IF($B258+1&gt;'Qredits maandlasten'!$C$7,"",G259*I259*'Qredits maandlasten'!$C$8/12))</f>
        <v/>
      </c>
      <c r="L259" s="423" t="str">
        <f t="shared" si="17"/>
        <v/>
      </c>
      <c r="M259" s="423" t="str">
        <f t="shared" si="15"/>
        <v/>
      </c>
      <c r="N259" s="422"/>
      <c r="O259" s="424" t="str">
        <f>IF($B259="","",'Qredits maandlasten'!$C$8/12)</f>
        <v/>
      </c>
      <c r="P259" s="424" t="str">
        <f>IF($B259="","",'Qredits maandlasten'!$C$8/12*(POWER(1+'Qredits maandlasten'!$C$8/12,$B259-1+1)))</f>
        <v/>
      </c>
      <c r="Q259" s="424" t="str">
        <f t="shared" si="18"/>
        <v/>
      </c>
      <c r="R259" s="422"/>
      <c r="S259" s="423" t="str">
        <f t="shared" si="16"/>
        <v/>
      </c>
      <c r="T259" s="423" t="str">
        <f>IF(S259="","",J259/(POWER(1+'Qredits maandlasten'!$C$8/12,$B259-1+1)))</f>
        <v/>
      </c>
      <c r="U259" s="425" t="str">
        <f t="shared" si="19"/>
        <v/>
      </c>
      <c r="V259" s="423" t="str">
        <f>IF($B259="","",K259/(POWER(1+'Qredits maandlasten'!$C$8/12,$B259-1+1)))</f>
        <v/>
      </c>
      <c r="W259" s="422"/>
    </row>
    <row r="260" spans="1:23" s="427" customFormat="1" x14ac:dyDescent="0.2">
      <c r="A260" s="418"/>
      <c r="B260" s="419" t="str">
        <f>IF($B259="","",IF($B259+1&gt;'Qredits maandlasten'!$C$7,"",Schema!B259+1))</f>
        <v/>
      </c>
      <c r="C260" s="420" t="str">
        <f>IF($B259="","",IF($B259+1&gt;'Qredits maandlasten'!$C$7,"",EOMONTH(C259,0)+1))</f>
        <v/>
      </c>
      <c r="D260" s="418"/>
      <c r="E260" s="420" t="str">
        <f>IF($B259="","",IF($B259+1&gt;'Qredits maandlasten'!$C$7,"",F259+1))</f>
        <v/>
      </c>
      <c r="F260" s="420" t="str">
        <f>IF($B259="","",IF($B259+1&gt;'Qredits maandlasten'!$C$7,"",EOMONTH(C260,-1)))</f>
        <v/>
      </c>
      <c r="G260" s="421" t="str">
        <f>IF($B259="","",IF($B259+1&gt;'Qredits maandlasten'!$C$7,"",(_xlfn.DAYS(F260,E260)+1)/DAY(F260)))</f>
        <v/>
      </c>
      <c r="H260" s="422"/>
      <c r="I260" s="423" t="str">
        <f>IF($B259="","",IF($B259+1&gt;'Qredits maandlasten'!$C$7,"",I259-J259))</f>
        <v/>
      </c>
      <c r="J260" s="423" t="str">
        <f>IF($B259="","",IF($B259+1&gt;'Qredits maandlasten'!$C$7,"",IF(B259&lt;'Investering &amp; Financiering'!$E$52-1,0,IF('Qredits maandlasten'!$C$10="Lineair",'Qredits maandlasten'!$H$4,IF('Qredits maandlasten'!$C$10="Annuïteit",IFERROR('Qredits maandlasten'!$H$4-K260,0),0)))))</f>
        <v/>
      </c>
      <c r="K260" s="423" t="str">
        <f>IF($B259="","",IF($B259+1&gt;'Qredits maandlasten'!$C$7,"",G260*I260*'Qredits maandlasten'!$C$8/12))</f>
        <v/>
      </c>
      <c r="L260" s="423" t="str">
        <f t="shared" si="17"/>
        <v/>
      </c>
      <c r="M260" s="423" t="str">
        <f t="shared" si="15"/>
        <v/>
      </c>
      <c r="N260" s="422"/>
      <c r="O260" s="424" t="str">
        <f>IF($B260="","",'Qredits maandlasten'!$C$8/12)</f>
        <v/>
      </c>
      <c r="P260" s="424" t="str">
        <f>IF($B260="","",'Qredits maandlasten'!$C$8/12*(POWER(1+'Qredits maandlasten'!$C$8/12,$B260-1+1)))</f>
        <v/>
      </c>
      <c r="Q260" s="424" t="str">
        <f t="shared" si="18"/>
        <v/>
      </c>
      <c r="R260" s="422"/>
      <c r="S260" s="423" t="str">
        <f t="shared" si="16"/>
        <v/>
      </c>
      <c r="T260" s="423" t="str">
        <f>IF(S260="","",J260/(POWER(1+'Qredits maandlasten'!$C$8/12,$B260-1+1)))</f>
        <v/>
      </c>
      <c r="U260" s="425" t="str">
        <f t="shared" si="19"/>
        <v/>
      </c>
      <c r="V260" s="423" t="str">
        <f>IF($B260="","",K260/(POWER(1+'Qredits maandlasten'!$C$8/12,$B260-1+1)))</f>
        <v/>
      </c>
      <c r="W260" s="422"/>
    </row>
    <row r="261" spans="1:23" s="427" customFormat="1" x14ac:dyDescent="0.2">
      <c r="A261" s="418"/>
      <c r="B261" s="419" t="str">
        <f>IF($B260="","",IF($B260+1&gt;'Qredits maandlasten'!$C$7,"",Schema!B260+1))</f>
        <v/>
      </c>
      <c r="C261" s="420" t="str">
        <f>IF($B260="","",IF($B260+1&gt;'Qredits maandlasten'!$C$7,"",EOMONTH(C260,0)+1))</f>
        <v/>
      </c>
      <c r="D261" s="418"/>
      <c r="E261" s="420" t="str">
        <f>IF($B260="","",IF($B260+1&gt;'Qredits maandlasten'!$C$7,"",F260+1))</f>
        <v/>
      </c>
      <c r="F261" s="420" t="str">
        <f>IF($B260="","",IF($B260+1&gt;'Qredits maandlasten'!$C$7,"",EOMONTH(C261,-1)))</f>
        <v/>
      </c>
      <c r="G261" s="421" t="str">
        <f>IF($B260="","",IF($B260+1&gt;'Qredits maandlasten'!$C$7,"",(_xlfn.DAYS(F261,E261)+1)/DAY(F261)))</f>
        <v/>
      </c>
      <c r="H261" s="422"/>
      <c r="I261" s="423" t="str">
        <f>IF($B260="","",IF($B260+1&gt;'Qredits maandlasten'!$C$7,"",I260-J260))</f>
        <v/>
      </c>
      <c r="J261" s="423" t="str">
        <f>IF($B260="","",IF($B260+1&gt;'Qredits maandlasten'!$C$7,"",IF(B260&lt;'Investering &amp; Financiering'!$E$52-1,0,IF('Qredits maandlasten'!$C$10="Lineair",'Qredits maandlasten'!$H$4,IF('Qredits maandlasten'!$C$10="Annuïteit",IFERROR('Qredits maandlasten'!$H$4-K261,0),0)))))</f>
        <v/>
      </c>
      <c r="K261" s="423" t="str">
        <f>IF($B260="","",IF($B260+1&gt;'Qredits maandlasten'!$C$7,"",G261*I261*'Qredits maandlasten'!$C$8/12))</f>
        <v/>
      </c>
      <c r="L261" s="423" t="str">
        <f t="shared" si="17"/>
        <v/>
      </c>
      <c r="M261" s="423" t="str">
        <f t="shared" si="15"/>
        <v/>
      </c>
      <c r="N261" s="422"/>
      <c r="O261" s="424" t="str">
        <f>IF($B261="","",'Qredits maandlasten'!$C$8/12)</f>
        <v/>
      </c>
      <c r="P261" s="424" t="str">
        <f>IF($B261="","",'Qredits maandlasten'!$C$8/12*(POWER(1+'Qredits maandlasten'!$C$8/12,$B261-1+1)))</f>
        <v/>
      </c>
      <c r="Q261" s="424" t="str">
        <f t="shared" si="18"/>
        <v/>
      </c>
      <c r="R261" s="422"/>
      <c r="S261" s="423" t="str">
        <f t="shared" si="16"/>
        <v/>
      </c>
      <c r="T261" s="423" t="str">
        <f>IF(S261="","",J261/(POWER(1+'Qredits maandlasten'!$C$8/12,$B261-1+1)))</f>
        <v/>
      </c>
      <c r="U261" s="425" t="str">
        <f t="shared" si="19"/>
        <v/>
      </c>
      <c r="V261" s="423" t="str">
        <f>IF($B261="","",K261/(POWER(1+'Qredits maandlasten'!$C$8/12,$B261-1+1)))</f>
        <v/>
      </c>
      <c r="W261" s="422"/>
    </row>
    <row r="262" spans="1:23" s="427" customFormat="1" x14ac:dyDescent="0.2">
      <c r="A262" s="418"/>
      <c r="B262" s="419" t="str">
        <f>IF($B261="","",IF($B261+1&gt;'Qredits maandlasten'!$C$7,"",Schema!B261+1))</f>
        <v/>
      </c>
      <c r="C262" s="420" t="str">
        <f>IF($B261="","",IF($B261+1&gt;'Qredits maandlasten'!$C$7,"",EOMONTH(C261,0)+1))</f>
        <v/>
      </c>
      <c r="D262" s="418"/>
      <c r="E262" s="420" t="str">
        <f>IF($B261="","",IF($B261+1&gt;'Qredits maandlasten'!$C$7,"",F261+1))</f>
        <v/>
      </c>
      <c r="F262" s="420" t="str">
        <f>IF($B261="","",IF($B261+1&gt;'Qredits maandlasten'!$C$7,"",EOMONTH(C262,-1)))</f>
        <v/>
      </c>
      <c r="G262" s="421" t="str">
        <f>IF($B261="","",IF($B261+1&gt;'Qredits maandlasten'!$C$7,"",(_xlfn.DAYS(F262,E262)+1)/DAY(F262)))</f>
        <v/>
      </c>
      <c r="H262" s="422"/>
      <c r="I262" s="423" t="str">
        <f>IF($B261="","",IF($B261+1&gt;'Qredits maandlasten'!$C$7,"",I261-J261))</f>
        <v/>
      </c>
      <c r="J262" s="423" t="str">
        <f>IF($B261="","",IF($B261+1&gt;'Qredits maandlasten'!$C$7,"",IF(B261&lt;'Investering &amp; Financiering'!$E$52-1,0,IF('Qredits maandlasten'!$C$10="Lineair",'Qredits maandlasten'!$H$4,IF('Qredits maandlasten'!$C$10="Annuïteit",IFERROR('Qredits maandlasten'!$H$4-K262,0),0)))))</f>
        <v/>
      </c>
      <c r="K262" s="423" t="str">
        <f>IF($B261="","",IF($B261+1&gt;'Qredits maandlasten'!$C$7,"",G262*I262*'Qredits maandlasten'!$C$8/12))</f>
        <v/>
      </c>
      <c r="L262" s="423" t="str">
        <f t="shared" si="17"/>
        <v/>
      </c>
      <c r="M262" s="423" t="str">
        <f t="shared" si="15"/>
        <v/>
      </c>
      <c r="N262" s="422"/>
      <c r="O262" s="424" t="str">
        <f>IF($B262="","",'Qredits maandlasten'!$C$8/12)</f>
        <v/>
      </c>
      <c r="P262" s="424" t="str">
        <f>IF($B262="","",'Qredits maandlasten'!$C$8/12*(POWER(1+'Qredits maandlasten'!$C$8/12,$B262-1+1)))</f>
        <v/>
      </c>
      <c r="Q262" s="424" t="str">
        <f t="shared" si="18"/>
        <v/>
      </c>
      <c r="R262" s="422"/>
      <c r="S262" s="423" t="str">
        <f t="shared" si="16"/>
        <v/>
      </c>
      <c r="T262" s="423" t="str">
        <f>IF(S262="","",J262/(POWER(1+'Qredits maandlasten'!$C$8/12,$B262-1+1)))</f>
        <v/>
      </c>
      <c r="U262" s="425" t="str">
        <f t="shared" si="19"/>
        <v/>
      </c>
      <c r="V262" s="423" t="str">
        <f>IF($B262="","",K262/(POWER(1+'Qredits maandlasten'!$C$8/12,$B262-1+1)))</f>
        <v/>
      </c>
      <c r="W262" s="422"/>
    </row>
    <row r="263" spans="1:23" s="427" customFormat="1" x14ac:dyDescent="0.2">
      <c r="A263" s="418"/>
      <c r="B263" s="419" t="str">
        <f>IF($B262="","",IF($B262+1&gt;'Qredits maandlasten'!$C$7,"",Schema!B262+1))</f>
        <v/>
      </c>
      <c r="C263" s="420" t="str">
        <f>IF($B262="","",IF($B262+1&gt;'Qredits maandlasten'!$C$7,"",EOMONTH(C262,0)+1))</f>
        <v/>
      </c>
      <c r="D263" s="418"/>
      <c r="E263" s="420" t="str">
        <f>IF($B262="","",IF($B262+1&gt;'Qredits maandlasten'!$C$7,"",F262+1))</f>
        <v/>
      </c>
      <c r="F263" s="420" t="str">
        <f>IF($B262="","",IF($B262+1&gt;'Qredits maandlasten'!$C$7,"",EOMONTH(C263,-1)))</f>
        <v/>
      </c>
      <c r="G263" s="421" t="str">
        <f>IF($B262="","",IF($B262+1&gt;'Qredits maandlasten'!$C$7,"",(_xlfn.DAYS(F263,E263)+1)/DAY(F263)))</f>
        <v/>
      </c>
      <c r="H263" s="422"/>
      <c r="I263" s="423" t="str">
        <f>IF($B262="","",IF($B262+1&gt;'Qredits maandlasten'!$C$7,"",I262-J262))</f>
        <v/>
      </c>
      <c r="J263" s="423" t="str">
        <f>IF($B262="","",IF($B262+1&gt;'Qredits maandlasten'!$C$7,"",IF(B262&lt;'Investering &amp; Financiering'!$E$52-1,0,IF('Qredits maandlasten'!$C$10="Lineair",'Qredits maandlasten'!$H$4,IF('Qredits maandlasten'!$C$10="Annuïteit",IFERROR('Qredits maandlasten'!$H$4-K263,0),0)))))</f>
        <v/>
      </c>
      <c r="K263" s="423" t="str">
        <f>IF($B262="","",IF($B262+1&gt;'Qredits maandlasten'!$C$7,"",G263*I263*'Qredits maandlasten'!$C$8/12))</f>
        <v/>
      </c>
      <c r="L263" s="423" t="str">
        <f t="shared" si="17"/>
        <v/>
      </c>
      <c r="M263" s="423" t="str">
        <f t="shared" si="15"/>
        <v/>
      </c>
      <c r="N263" s="422"/>
      <c r="O263" s="424" t="str">
        <f>IF($B263="","",'Qredits maandlasten'!$C$8/12)</f>
        <v/>
      </c>
      <c r="P263" s="424" t="str">
        <f>IF($B263="","",'Qredits maandlasten'!$C$8/12*(POWER(1+'Qredits maandlasten'!$C$8/12,$B263-1+1)))</f>
        <v/>
      </c>
      <c r="Q263" s="424" t="str">
        <f t="shared" si="18"/>
        <v/>
      </c>
      <c r="R263" s="422"/>
      <c r="S263" s="423" t="str">
        <f t="shared" si="16"/>
        <v/>
      </c>
      <c r="T263" s="423" t="str">
        <f>IF(S263="","",J263/(POWER(1+'Qredits maandlasten'!$C$8/12,$B263-1+1)))</f>
        <v/>
      </c>
      <c r="U263" s="425" t="str">
        <f t="shared" si="19"/>
        <v/>
      </c>
      <c r="V263" s="423" t="str">
        <f>IF($B263="","",K263/(POWER(1+'Qredits maandlasten'!$C$8/12,$B263-1+1)))</f>
        <v/>
      </c>
      <c r="W263" s="422"/>
    </row>
    <row r="264" spans="1:23" s="427" customFormat="1" x14ac:dyDescent="0.2">
      <c r="A264" s="418"/>
      <c r="B264" s="419" t="str">
        <f>IF($B263="","",IF($B263+1&gt;'Qredits maandlasten'!$C$7,"",Schema!B263+1))</f>
        <v/>
      </c>
      <c r="C264" s="420" t="str">
        <f>IF($B263="","",IF($B263+1&gt;'Qredits maandlasten'!$C$7,"",EOMONTH(C263,0)+1))</f>
        <v/>
      </c>
      <c r="D264" s="418"/>
      <c r="E264" s="420" t="str">
        <f>IF($B263="","",IF($B263+1&gt;'Qredits maandlasten'!$C$7,"",F263+1))</f>
        <v/>
      </c>
      <c r="F264" s="420" t="str">
        <f>IF($B263="","",IF($B263+1&gt;'Qredits maandlasten'!$C$7,"",EOMONTH(C264,-1)))</f>
        <v/>
      </c>
      <c r="G264" s="421" t="str">
        <f>IF($B263="","",IF($B263+1&gt;'Qredits maandlasten'!$C$7,"",(_xlfn.DAYS(F264,E264)+1)/DAY(F264)))</f>
        <v/>
      </c>
      <c r="H264" s="422"/>
      <c r="I264" s="423" t="str">
        <f>IF($B263="","",IF($B263+1&gt;'Qredits maandlasten'!$C$7,"",I263-J263))</f>
        <v/>
      </c>
      <c r="J264" s="423" t="str">
        <f>IF($B263="","",IF($B263+1&gt;'Qredits maandlasten'!$C$7,"",IF(B263&lt;'Investering &amp; Financiering'!$E$52-1,0,IF('Qredits maandlasten'!$C$10="Lineair",'Qredits maandlasten'!$H$4,IF('Qredits maandlasten'!$C$10="Annuïteit",IFERROR('Qredits maandlasten'!$H$4-K264,0),0)))))</f>
        <v/>
      </c>
      <c r="K264" s="423" t="str">
        <f>IF($B263="","",IF($B263+1&gt;'Qredits maandlasten'!$C$7,"",G264*I264*'Qredits maandlasten'!$C$8/12))</f>
        <v/>
      </c>
      <c r="L264" s="423" t="str">
        <f t="shared" si="17"/>
        <v/>
      </c>
      <c r="M264" s="423" t="str">
        <f t="shared" si="15"/>
        <v/>
      </c>
      <c r="N264" s="422"/>
      <c r="O264" s="424" t="str">
        <f>IF($B264="","",'Qredits maandlasten'!$C$8/12)</f>
        <v/>
      </c>
      <c r="P264" s="424" t="str">
        <f>IF($B264="","",'Qredits maandlasten'!$C$8/12*(POWER(1+'Qredits maandlasten'!$C$8/12,$B264-1+1)))</f>
        <v/>
      </c>
      <c r="Q264" s="424" t="str">
        <f t="shared" si="18"/>
        <v/>
      </c>
      <c r="R264" s="422"/>
      <c r="S264" s="423" t="str">
        <f t="shared" si="16"/>
        <v/>
      </c>
      <c r="T264" s="423" t="str">
        <f>IF(S264="","",J264/(POWER(1+'Qredits maandlasten'!$C$8/12,$B264-1+1)))</f>
        <v/>
      </c>
      <c r="U264" s="425" t="str">
        <f t="shared" si="19"/>
        <v/>
      </c>
      <c r="V264" s="423" t="str">
        <f>IF($B264="","",K264/(POWER(1+'Qredits maandlasten'!$C$8/12,$B264-1+1)))</f>
        <v/>
      </c>
      <c r="W264" s="422"/>
    </row>
    <row r="265" spans="1:23" s="427" customFormat="1" x14ac:dyDescent="0.2">
      <c r="A265" s="418"/>
      <c r="B265" s="419" t="str">
        <f>IF($B264="","",IF($B264+1&gt;'Qredits maandlasten'!$C$7,"",Schema!B264+1))</f>
        <v/>
      </c>
      <c r="C265" s="420" t="str">
        <f>IF($B264="","",IF($B264+1&gt;'Qredits maandlasten'!$C$7,"",EOMONTH(C264,0)+1))</f>
        <v/>
      </c>
      <c r="D265" s="418"/>
      <c r="E265" s="420" t="str">
        <f>IF($B264="","",IF($B264+1&gt;'Qredits maandlasten'!$C$7,"",F264+1))</f>
        <v/>
      </c>
      <c r="F265" s="420" t="str">
        <f>IF($B264="","",IF($B264+1&gt;'Qredits maandlasten'!$C$7,"",EOMONTH(C265,-1)))</f>
        <v/>
      </c>
      <c r="G265" s="421" t="str">
        <f>IF($B264="","",IF($B264+1&gt;'Qredits maandlasten'!$C$7,"",(_xlfn.DAYS(F265,E265)+1)/DAY(F265)))</f>
        <v/>
      </c>
      <c r="H265" s="422"/>
      <c r="I265" s="423" t="str">
        <f>IF($B264="","",IF($B264+1&gt;'Qredits maandlasten'!$C$7,"",I264-J264))</f>
        <v/>
      </c>
      <c r="J265" s="423" t="str">
        <f>IF($B264="","",IF($B264+1&gt;'Qredits maandlasten'!$C$7,"",IF(B264&lt;'Investering &amp; Financiering'!$E$52-1,0,IF('Qredits maandlasten'!$C$10="Lineair",'Qredits maandlasten'!$H$4,IF('Qredits maandlasten'!$C$10="Annuïteit",IFERROR('Qredits maandlasten'!$H$4-K265,0),0)))))</f>
        <v/>
      </c>
      <c r="K265" s="423" t="str">
        <f>IF($B264="","",IF($B264+1&gt;'Qredits maandlasten'!$C$7,"",G265*I265*'Qredits maandlasten'!$C$8/12))</f>
        <v/>
      </c>
      <c r="L265" s="423" t="str">
        <f t="shared" si="17"/>
        <v/>
      </c>
      <c r="M265" s="423" t="str">
        <f t="shared" si="15"/>
        <v/>
      </c>
      <c r="N265" s="422"/>
      <c r="O265" s="424" t="str">
        <f>IF($B265="","",'Qredits maandlasten'!$C$8/12)</f>
        <v/>
      </c>
      <c r="P265" s="424" t="str">
        <f>IF($B265="","",'Qredits maandlasten'!$C$8/12*(POWER(1+'Qredits maandlasten'!$C$8/12,$B265-1+1)))</f>
        <v/>
      </c>
      <c r="Q265" s="424" t="str">
        <f t="shared" si="18"/>
        <v/>
      </c>
      <c r="R265" s="422"/>
      <c r="S265" s="423" t="str">
        <f t="shared" si="16"/>
        <v/>
      </c>
      <c r="T265" s="423" t="str">
        <f>IF(S265="","",J265/(POWER(1+'Qredits maandlasten'!$C$8/12,$B265-1+1)))</f>
        <v/>
      </c>
      <c r="U265" s="425" t="str">
        <f t="shared" si="19"/>
        <v/>
      </c>
      <c r="V265" s="423" t="str">
        <f>IF($B265="","",K265/(POWER(1+'Qredits maandlasten'!$C$8/12,$B265-1+1)))</f>
        <v/>
      </c>
      <c r="W265" s="422"/>
    </row>
    <row r="266" spans="1:23" s="427" customFormat="1" x14ac:dyDescent="0.2">
      <c r="A266" s="418"/>
      <c r="B266" s="419" t="str">
        <f>IF($B265="","",IF($B265+1&gt;'Qredits maandlasten'!$C$7,"",Schema!B265+1))</f>
        <v/>
      </c>
      <c r="C266" s="420" t="str">
        <f>IF($B265="","",IF($B265+1&gt;'Qredits maandlasten'!$C$7,"",EOMONTH(C265,0)+1))</f>
        <v/>
      </c>
      <c r="D266" s="418"/>
      <c r="E266" s="420" t="str">
        <f>IF($B265="","",IF($B265+1&gt;'Qredits maandlasten'!$C$7,"",F265+1))</f>
        <v/>
      </c>
      <c r="F266" s="420" t="str">
        <f>IF($B265="","",IF($B265+1&gt;'Qredits maandlasten'!$C$7,"",EOMONTH(C266,-1)))</f>
        <v/>
      </c>
      <c r="G266" s="421" t="str">
        <f>IF($B265="","",IF($B265+1&gt;'Qredits maandlasten'!$C$7,"",(_xlfn.DAYS(F266,E266)+1)/DAY(F266)))</f>
        <v/>
      </c>
      <c r="H266" s="422"/>
      <c r="I266" s="423" t="str">
        <f>IF($B265="","",IF($B265+1&gt;'Qredits maandlasten'!$C$7,"",I265-J265))</f>
        <v/>
      </c>
      <c r="J266" s="423" t="str">
        <f>IF($B265="","",IF($B265+1&gt;'Qredits maandlasten'!$C$7,"",IF(B265&lt;'Investering &amp; Financiering'!$E$52-1,0,IF('Qredits maandlasten'!$C$10="Lineair",'Qredits maandlasten'!$H$4,IF('Qredits maandlasten'!$C$10="Annuïteit",IFERROR('Qredits maandlasten'!$H$4-K266,0),0)))))</f>
        <v/>
      </c>
      <c r="K266" s="423" t="str">
        <f>IF($B265="","",IF($B265+1&gt;'Qredits maandlasten'!$C$7,"",G266*I266*'Qredits maandlasten'!$C$8/12))</f>
        <v/>
      </c>
      <c r="L266" s="423" t="str">
        <f t="shared" si="17"/>
        <v/>
      </c>
      <c r="M266" s="423" t="str">
        <f t="shared" ref="M266:M329" si="20">IF(S266="","",-K266-J266)</f>
        <v/>
      </c>
      <c r="N266" s="422"/>
      <c r="O266" s="424" t="str">
        <f>IF($B266="","",'Qredits maandlasten'!$C$8/12)</f>
        <v/>
      </c>
      <c r="P266" s="424" t="str">
        <f>IF($B266="","",'Qredits maandlasten'!$C$8/12*(POWER(1+'Qredits maandlasten'!$C$8/12,$B266-1+1)))</f>
        <v/>
      </c>
      <c r="Q266" s="424" t="str">
        <f t="shared" si="18"/>
        <v/>
      </c>
      <c r="R266" s="422"/>
      <c r="S266" s="423" t="str">
        <f t="shared" ref="S266:S329" si="21">IF(B266="","",IF(S265-T265&lt;0,"",S265-T265))</f>
        <v/>
      </c>
      <c r="T266" s="423" t="str">
        <f>IF(S266="","",J266/(POWER(1+'Qredits maandlasten'!$C$8/12,$B266-1+1)))</f>
        <v/>
      </c>
      <c r="U266" s="425" t="str">
        <f t="shared" si="19"/>
        <v/>
      </c>
      <c r="V266" s="423" t="str">
        <f>IF($B266="","",K266/(POWER(1+'Qredits maandlasten'!$C$8/12,$B266-1+1)))</f>
        <v/>
      </c>
      <c r="W266" s="422"/>
    </row>
    <row r="267" spans="1:23" s="427" customFormat="1" x14ac:dyDescent="0.2">
      <c r="A267" s="418"/>
      <c r="B267" s="419" t="str">
        <f>IF($B266="","",IF($B266+1&gt;'Qredits maandlasten'!$C$7,"",Schema!B266+1))</f>
        <v/>
      </c>
      <c r="C267" s="420" t="str">
        <f>IF($B266="","",IF($B266+1&gt;'Qredits maandlasten'!$C$7,"",EOMONTH(C266,0)+1))</f>
        <v/>
      </c>
      <c r="D267" s="418"/>
      <c r="E267" s="420" t="str">
        <f>IF($B266="","",IF($B266+1&gt;'Qredits maandlasten'!$C$7,"",F266+1))</f>
        <v/>
      </c>
      <c r="F267" s="420" t="str">
        <f>IF($B266="","",IF($B266+1&gt;'Qredits maandlasten'!$C$7,"",EOMONTH(C267,-1)))</f>
        <v/>
      </c>
      <c r="G267" s="421" t="str">
        <f>IF($B266="","",IF($B266+1&gt;'Qredits maandlasten'!$C$7,"",(_xlfn.DAYS(F267,E267)+1)/DAY(F267)))</f>
        <v/>
      </c>
      <c r="H267" s="422"/>
      <c r="I267" s="423" t="str">
        <f>IF($B266="","",IF($B266+1&gt;'Qredits maandlasten'!$C$7,"",I266-J266))</f>
        <v/>
      </c>
      <c r="J267" s="423" t="str">
        <f>IF($B266="","",IF($B266+1&gt;'Qredits maandlasten'!$C$7,"",IF(B266&lt;'Investering &amp; Financiering'!$E$52-1,0,IF('Qredits maandlasten'!$C$10="Lineair",'Qredits maandlasten'!$H$4,IF('Qredits maandlasten'!$C$10="Annuïteit",IFERROR('Qredits maandlasten'!$H$4-K267,0),0)))))</f>
        <v/>
      </c>
      <c r="K267" s="423" t="str">
        <f>IF($B266="","",IF($B266+1&gt;'Qredits maandlasten'!$C$7,"",G267*I267*'Qredits maandlasten'!$C$8/12))</f>
        <v/>
      </c>
      <c r="L267" s="423" t="str">
        <f t="shared" ref="L267:L330" si="22">IF(S267="","",-K267-J267)</f>
        <v/>
      </c>
      <c r="M267" s="423" t="str">
        <f t="shared" si="20"/>
        <v/>
      </c>
      <c r="N267" s="422"/>
      <c r="O267" s="424" t="str">
        <f>IF($B267="","",'Qredits maandlasten'!$C$8/12)</f>
        <v/>
      </c>
      <c r="P267" s="424" t="str">
        <f>IF($B267="","",'Qredits maandlasten'!$C$8/12*(POWER(1+'Qredits maandlasten'!$C$8/12,$B267-1+1)))</f>
        <v/>
      </c>
      <c r="Q267" s="424" t="str">
        <f t="shared" ref="Q267:Q330" si="23">IF($B267="","",IFERROR(J267/T267-1,0))</f>
        <v/>
      </c>
      <c r="R267" s="422"/>
      <c r="S267" s="423" t="str">
        <f t="shared" si="21"/>
        <v/>
      </c>
      <c r="T267" s="423" t="str">
        <f>IF(S267="","",J267/(POWER(1+'Qredits maandlasten'!$C$8/12,$B267-1+1)))</f>
        <v/>
      </c>
      <c r="U267" s="425" t="str">
        <f t="shared" ref="U267:U330" si="24">IF(S267="","",T267+V267)</f>
        <v/>
      </c>
      <c r="V267" s="423" t="str">
        <f>IF($B267="","",K267/(POWER(1+'Qredits maandlasten'!$C$8/12,$B267-1+1)))</f>
        <v/>
      </c>
      <c r="W267" s="422"/>
    </row>
    <row r="268" spans="1:23" s="427" customFormat="1" x14ac:dyDescent="0.2">
      <c r="A268" s="418"/>
      <c r="B268" s="419" t="str">
        <f>IF($B267="","",IF($B267+1&gt;'Qredits maandlasten'!$C$7,"",Schema!B267+1))</f>
        <v/>
      </c>
      <c r="C268" s="420" t="str">
        <f>IF($B267="","",IF($B267+1&gt;'Qredits maandlasten'!$C$7,"",EOMONTH(C267,0)+1))</f>
        <v/>
      </c>
      <c r="D268" s="418"/>
      <c r="E268" s="420" t="str">
        <f>IF($B267="","",IF($B267+1&gt;'Qredits maandlasten'!$C$7,"",F267+1))</f>
        <v/>
      </c>
      <c r="F268" s="420" t="str">
        <f>IF($B267="","",IF($B267+1&gt;'Qredits maandlasten'!$C$7,"",EOMONTH(C268,-1)))</f>
        <v/>
      </c>
      <c r="G268" s="421" t="str">
        <f>IF($B267="","",IF($B267+1&gt;'Qredits maandlasten'!$C$7,"",(_xlfn.DAYS(F268,E268)+1)/DAY(F268)))</f>
        <v/>
      </c>
      <c r="H268" s="422"/>
      <c r="I268" s="423" t="str">
        <f>IF($B267="","",IF($B267+1&gt;'Qredits maandlasten'!$C$7,"",I267-J267))</f>
        <v/>
      </c>
      <c r="J268" s="423" t="str">
        <f>IF($B267="","",IF($B267+1&gt;'Qredits maandlasten'!$C$7,"",IF(B267&lt;'Investering &amp; Financiering'!$E$52-1,0,IF('Qredits maandlasten'!$C$10="Lineair",'Qredits maandlasten'!$H$4,IF('Qredits maandlasten'!$C$10="Annuïteit",IFERROR('Qredits maandlasten'!$H$4-K268,0),0)))))</f>
        <v/>
      </c>
      <c r="K268" s="423" t="str">
        <f>IF($B267="","",IF($B267+1&gt;'Qredits maandlasten'!$C$7,"",G268*I268*'Qredits maandlasten'!$C$8/12))</f>
        <v/>
      </c>
      <c r="L268" s="423" t="str">
        <f t="shared" si="22"/>
        <v/>
      </c>
      <c r="M268" s="423" t="str">
        <f t="shared" si="20"/>
        <v/>
      </c>
      <c r="N268" s="422"/>
      <c r="O268" s="424" t="str">
        <f>IF($B268="","",'Qredits maandlasten'!$C$8/12)</f>
        <v/>
      </c>
      <c r="P268" s="424" t="str">
        <f>IF($B268="","",'Qredits maandlasten'!$C$8/12*(POWER(1+'Qredits maandlasten'!$C$8/12,$B268-1+1)))</f>
        <v/>
      </c>
      <c r="Q268" s="424" t="str">
        <f t="shared" si="23"/>
        <v/>
      </c>
      <c r="R268" s="422"/>
      <c r="S268" s="423" t="str">
        <f t="shared" si="21"/>
        <v/>
      </c>
      <c r="T268" s="423" t="str">
        <f>IF(S268="","",J268/(POWER(1+'Qredits maandlasten'!$C$8/12,$B268-1+1)))</f>
        <v/>
      </c>
      <c r="U268" s="425" t="str">
        <f t="shared" si="24"/>
        <v/>
      </c>
      <c r="V268" s="423" t="str">
        <f>IF($B268="","",K268/(POWER(1+'Qredits maandlasten'!$C$8/12,$B268-1+1)))</f>
        <v/>
      </c>
      <c r="W268" s="422"/>
    </row>
    <row r="269" spans="1:23" s="427" customFormat="1" x14ac:dyDescent="0.2">
      <c r="A269" s="418"/>
      <c r="B269" s="419" t="str">
        <f>IF($B268="","",IF($B268+1&gt;'Qredits maandlasten'!$C$7,"",Schema!B268+1))</f>
        <v/>
      </c>
      <c r="C269" s="420" t="str">
        <f>IF($B268="","",IF($B268+1&gt;'Qredits maandlasten'!$C$7,"",EOMONTH(C268,0)+1))</f>
        <v/>
      </c>
      <c r="D269" s="418"/>
      <c r="E269" s="420" t="str">
        <f>IF($B268="","",IF($B268+1&gt;'Qredits maandlasten'!$C$7,"",F268+1))</f>
        <v/>
      </c>
      <c r="F269" s="420" t="str">
        <f>IF($B268="","",IF($B268+1&gt;'Qredits maandlasten'!$C$7,"",EOMONTH(C269,-1)))</f>
        <v/>
      </c>
      <c r="G269" s="421" t="str">
        <f>IF($B268="","",IF($B268+1&gt;'Qredits maandlasten'!$C$7,"",(_xlfn.DAYS(F269,E269)+1)/DAY(F269)))</f>
        <v/>
      </c>
      <c r="H269" s="422"/>
      <c r="I269" s="423" t="str">
        <f>IF($B268="","",IF($B268+1&gt;'Qredits maandlasten'!$C$7,"",I268-J268))</f>
        <v/>
      </c>
      <c r="J269" s="423" t="str">
        <f>IF($B268="","",IF($B268+1&gt;'Qredits maandlasten'!$C$7,"",IF(B268&lt;'Investering &amp; Financiering'!$E$52-1,0,IF('Qredits maandlasten'!$C$10="Lineair",'Qredits maandlasten'!$H$4,IF('Qredits maandlasten'!$C$10="Annuïteit",IFERROR('Qredits maandlasten'!$H$4-K269,0),0)))))</f>
        <v/>
      </c>
      <c r="K269" s="423" t="str">
        <f>IF($B268="","",IF($B268+1&gt;'Qredits maandlasten'!$C$7,"",G269*I269*'Qredits maandlasten'!$C$8/12))</f>
        <v/>
      </c>
      <c r="L269" s="423" t="str">
        <f t="shared" si="22"/>
        <v/>
      </c>
      <c r="M269" s="423" t="str">
        <f t="shared" si="20"/>
        <v/>
      </c>
      <c r="N269" s="422"/>
      <c r="O269" s="424" t="str">
        <f>IF($B269="","",'Qredits maandlasten'!$C$8/12)</f>
        <v/>
      </c>
      <c r="P269" s="424" t="str">
        <f>IF($B269="","",'Qredits maandlasten'!$C$8/12*(POWER(1+'Qredits maandlasten'!$C$8/12,$B269-1+1)))</f>
        <v/>
      </c>
      <c r="Q269" s="424" t="str">
        <f t="shared" si="23"/>
        <v/>
      </c>
      <c r="R269" s="422"/>
      <c r="S269" s="423" t="str">
        <f t="shared" si="21"/>
        <v/>
      </c>
      <c r="T269" s="423" t="str">
        <f>IF(S269="","",J269/(POWER(1+'Qredits maandlasten'!$C$8/12,$B269-1+1)))</f>
        <v/>
      </c>
      <c r="U269" s="425" t="str">
        <f t="shared" si="24"/>
        <v/>
      </c>
      <c r="V269" s="423" t="str">
        <f>IF($B269="","",K269/(POWER(1+'Qredits maandlasten'!$C$8/12,$B269-1+1)))</f>
        <v/>
      </c>
      <c r="W269" s="422"/>
    </row>
    <row r="270" spans="1:23" s="427" customFormat="1" x14ac:dyDescent="0.2">
      <c r="A270" s="418"/>
      <c r="B270" s="419" t="str">
        <f>IF($B269="","",IF($B269+1&gt;'Qredits maandlasten'!$C$7,"",Schema!B269+1))</f>
        <v/>
      </c>
      <c r="C270" s="420" t="str">
        <f>IF($B269="","",IF($B269+1&gt;'Qredits maandlasten'!$C$7,"",EOMONTH(C269,0)+1))</f>
        <v/>
      </c>
      <c r="D270" s="418"/>
      <c r="E270" s="420" t="str">
        <f>IF($B269="","",IF($B269+1&gt;'Qredits maandlasten'!$C$7,"",F269+1))</f>
        <v/>
      </c>
      <c r="F270" s="420" t="str">
        <f>IF($B269="","",IF($B269+1&gt;'Qredits maandlasten'!$C$7,"",EOMONTH(C270,-1)))</f>
        <v/>
      </c>
      <c r="G270" s="421" t="str">
        <f>IF($B269="","",IF($B269+1&gt;'Qredits maandlasten'!$C$7,"",(_xlfn.DAYS(F270,E270)+1)/DAY(F270)))</f>
        <v/>
      </c>
      <c r="H270" s="422"/>
      <c r="I270" s="423" t="str">
        <f>IF($B269="","",IF($B269+1&gt;'Qredits maandlasten'!$C$7,"",I269-J269))</f>
        <v/>
      </c>
      <c r="J270" s="423" t="str">
        <f>IF($B269="","",IF($B269+1&gt;'Qredits maandlasten'!$C$7,"",IF(B269&lt;'Investering &amp; Financiering'!$E$52-1,0,IF('Qredits maandlasten'!$C$10="Lineair",'Qredits maandlasten'!$H$4,IF('Qredits maandlasten'!$C$10="Annuïteit",IFERROR('Qredits maandlasten'!$H$4-K270,0),0)))))</f>
        <v/>
      </c>
      <c r="K270" s="423" t="str">
        <f>IF($B269="","",IF($B269+1&gt;'Qredits maandlasten'!$C$7,"",G270*I270*'Qredits maandlasten'!$C$8/12))</f>
        <v/>
      </c>
      <c r="L270" s="423" t="str">
        <f t="shared" si="22"/>
        <v/>
      </c>
      <c r="M270" s="423" t="str">
        <f t="shared" si="20"/>
        <v/>
      </c>
      <c r="N270" s="422"/>
      <c r="O270" s="424" t="str">
        <f>IF($B270="","",'Qredits maandlasten'!$C$8/12)</f>
        <v/>
      </c>
      <c r="P270" s="424" t="str">
        <f>IF($B270="","",'Qredits maandlasten'!$C$8/12*(POWER(1+'Qredits maandlasten'!$C$8/12,$B270-1+1)))</f>
        <v/>
      </c>
      <c r="Q270" s="424" t="str">
        <f t="shared" si="23"/>
        <v/>
      </c>
      <c r="R270" s="422"/>
      <c r="S270" s="423" t="str">
        <f t="shared" si="21"/>
        <v/>
      </c>
      <c r="T270" s="423" t="str">
        <f>IF(S270="","",J270/(POWER(1+'Qredits maandlasten'!$C$8/12,$B270-1+1)))</f>
        <v/>
      </c>
      <c r="U270" s="425" t="str">
        <f t="shared" si="24"/>
        <v/>
      </c>
      <c r="V270" s="423" t="str">
        <f>IF($B270="","",K270/(POWER(1+'Qredits maandlasten'!$C$8/12,$B270-1+1)))</f>
        <v/>
      </c>
      <c r="W270" s="422"/>
    </row>
    <row r="271" spans="1:23" s="427" customFormat="1" x14ac:dyDescent="0.2">
      <c r="A271" s="418"/>
      <c r="B271" s="419" t="str">
        <f>IF($B270="","",IF($B270+1&gt;'Qredits maandlasten'!$C$7,"",Schema!B270+1))</f>
        <v/>
      </c>
      <c r="C271" s="420" t="str">
        <f>IF($B270="","",IF($B270+1&gt;'Qredits maandlasten'!$C$7,"",EOMONTH(C270,0)+1))</f>
        <v/>
      </c>
      <c r="D271" s="418"/>
      <c r="E271" s="420" t="str">
        <f>IF($B270="","",IF($B270+1&gt;'Qredits maandlasten'!$C$7,"",F270+1))</f>
        <v/>
      </c>
      <c r="F271" s="420" t="str">
        <f>IF($B270="","",IF($B270+1&gt;'Qredits maandlasten'!$C$7,"",EOMONTH(C271,-1)))</f>
        <v/>
      </c>
      <c r="G271" s="421" t="str">
        <f>IF($B270="","",IF($B270+1&gt;'Qredits maandlasten'!$C$7,"",(_xlfn.DAYS(F271,E271)+1)/DAY(F271)))</f>
        <v/>
      </c>
      <c r="H271" s="422"/>
      <c r="I271" s="423" t="str">
        <f>IF($B270="","",IF($B270+1&gt;'Qredits maandlasten'!$C$7,"",I270-J270))</f>
        <v/>
      </c>
      <c r="J271" s="423" t="str">
        <f>IF($B270="","",IF($B270+1&gt;'Qredits maandlasten'!$C$7,"",IF(B270&lt;'Investering &amp; Financiering'!$E$52-1,0,IF('Qredits maandlasten'!$C$10="Lineair",'Qredits maandlasten'!$H$4,IF('Qredits maandlasten'!$C$10="Annuïteit",IFERROR('Qredits maandlasten'!$H$4-K271,0),0)))))</f>
        <v/>
      </c>
      <c r="K271" s="423" t="str">
        <f>IF($B270="","",IF($B270+1&gt;'Qredits maandlasten'!$C$7,"",G271*I271*'Qredits maandlasten'!$C$8/12))</f>
        <v/>
      </c>
      <c r="L271" s="423" t="str">
        <f t="shared" si="22"/>
        <v/>
      </c>
      <c r="M271" s="423" t="str">
        <f t="shared" si="20"/>
        <v/>
      </c>
      <c r="N271" s="422"/>
      <c r="O271" s="424" t="str">
        <f>IF($B271="","",'Qredits maandlasten'!$C$8/12)</f>
        <v/>
      </c>
      <c r="P271" s="424" t="str">
        <f>IF($B271="","",'Qredits maandlasten'!$C$8/12*(POWER(1+'Qredits maandlasten'!$C$8/12,$B271-1+1)))</f>
        <v/>
      </c>
      <c r="Q271" s="424" t="str">
        <f t="shared" si="23"/>
        <v/>
      </c>
      <c r="R271" s="422"/>
      <c r="S271" s="423" t="str">
        <f t="shared" si="21"/>
        <v/>
      </c>
      <c r="T271" s="423" t="str">
        <f>IF(S271="","",J271/(POWER(1+'Qredits maandlasten'!$C$8/12,$B271-1+1)))</f>
        <v/>
      </c>
      <c r="U271" s="425" t="str">
        <f t="shared" si="24"/>
        <v/>
      </c>
      <c r="V271" s="423" t="str">
        <f>IF($B271="","",K271/(POWER(1+'Qredits maandlasten'!$C$8/12,$B271-1+1)))</f>
        <v/>
      </c>
      <c r="W271" s="422"/>
    </row>
    <row r="272" spans="1:23" s="427" customFormat="1" x14ac:dyDescent="0.2">
      <c r="A272" s="418"/>
      <c r="B272" s="419" t="str">
        <f>IF($B271="","",IF($B271+1&gt;'Qredits maandlasten'!$C$7,"",Schema!B271+1))</f>
        <v/>
      </c>
      <c r="C272" s="420" t="str">
        <f>IF($B271="","",IF($B271+1&gt;'Qredits maandlasten'!$C$7,"",EOMONTH(C271,0)+1))</f>
        <v/>
      </c>
      <c r="D272" s="418"/>
      <c r="E272" s="420" t="str">
        <f>IF($B271="","",IF($B271+1&gt;'Qredits maandlasten'!$C$7,"",F271+1))</f>
        <v/>
      </c>
      <c r="F272" s="420" t="str">
        <f>IF($B271="","",IF($B271+1&gt;'Qredits maandlasten'!$C$7,"",EOMONTH(C272,-1)))</f>
        <v/>
      </c>
      <c r="G272" s="421" t="str">
        <f>IF($B271="","",IF($B271+1&gt;'Qredits maandlasten'!$C$7,"",(_xlfn.DAYS(F272,E272)+1)/DAY(F272)))</f>
        <v/>
      </c>
      <c r="H272" s="422"/>
      <c r="I272" s="423" t="str">
        <f>IF($B271="","",IF($B271+1&gt;'Qredits maandlasten'!$C$7,"",I271-J271))</f>
        <v/>
      </c>
      <c r="J272" s="423" t="str">
        <f>IF($B271="","",IF($B271+1&gt;'Qredits maandlasten'!$C$7,"",IF(B271&lt;'Investering &amp; Financiering'!$E$52-1,0,IF('Qredits maandlasten'!$C$10="Lineair",'Qredits maandlasten'!$H$4,IF('Qredits maandlasten'!$C$10="Annuïteit",IFERROR('Qredits maandlasten'!$H$4-K272,0),0)))))</f>
        <v/>
      </c>
      <c r="K272" s="423" t="str">
        <f>IF($B271="","",IF($B271+1&gt;'Qredits maandlasten'!$C$7,"",G272*I272*'Qredits maandlasten'!$C$8/12))</f>
        <v/>
      </c>
      <c r="L272" s="423" t="str">
        <f t="shared" si="22"/>
        <v/>
      </c>
      <c r="M272" s="423" t="str">
        <f t="shared" si="20"/>
        <v/>
      </c>
      <c r="N272" s="422"/>
      <c r="O272" s="424" t="str">
        <f>IF($B272="","",'Qredits maandlasten'!$C$8/12)</f>
        <v/>
      </c>
      <c r="P272" s="424" t="str">
        <f>IF($B272="","",'Qredits maandlasten'!$C$8/12*(POWER(1+'Qredits maandlasten'!$C$8/12,$B272-1+1)))</f>
        <v/>
      </c>
      <c r="Q272" s="424" t="str">
        <f t="shared" si="23"/>
        <v/>
      </c>
      <c r="R272" s="422"/>
      <c r="S272" s="423" t="str">
        <f t="shared" si="21"/>
        <v/>
      </c>
      <c r="T272" s="423" t="str">
        <f>IF(S272="","",J272/(POWER(1+'Qredits maandlasten'!$C$8/12,$B272-1+1)))</f>
        <v/>
      </c>
      <c r="U272" s="425" t="str">
        <f t="shared" si="24"/>
        <v/>
      </c>
      <c r="V272" s="423" t="str">
        <f>IF($B272="","",K272/(POWER(1+'Qredits maandlasten'!$C$8/12,$B272-1+1)))</f>
        <v/>
      </c>
      <c r="W272" s="422"/>
    </row>
    <row r="273" spans="1:23" s="427" customFormat="1" x14ac:dyDescent="0.2">
      <c r="A273" s="418"/>
      <c r="B273" s="419" t="str">
        <f>IF($B272="","",IF($B272+1&gt;'Qredits maandlasten'!$C$7,"",Schema!B272+1))</f>
        <v/>
      </c>
      <c r="C273" s="420" t="str">
        <f>IF($B272="","",IF($B272+1&gt;'Qredits maandlasten'!$C$7,"",EOMONTH(C272,0)+1))</f>
        <v/>
      </c>
      <c r="D273" s="418"/>
      <c r="E273" s="420" t="str">
        <f>IF($B272="","",IF($B272+1&gt;'Qredits maandlasten'!$C$7,"",F272+1))</f>
        <v/>
      </c>
      <c r="F273" s="420" t="str">
        <f>IF($B272="","",IF($B272+1&gt;'Qredits maandlasten'!$C$7,"",EOMONTH(C273,-1)))</f>
        <v/>
      </c>
      <c r="G273" s="421" t="str">
        <f>IF($B272="","",IF($B272+1&gt;'Qredits maandlasten'!$C$7,"",(_xlfn.DAYS(F273,E273)+1)/DAY(F273)))</f>
        <v/>
      </c>
      <c r="H273" s="422"/>
      <c r="I273" s="423" t="str">
        <f>IF($B272="","",IF($B272+1&gt;'Qredits maandlasten'!$C$7,"",I272-J272))</f>
        <v/>
      </c>
      <c r="J273" s="423" t="str">
        <f>IF($B272="","",IF($B272+1&gt;'Qredits maandlasten'!$C$7,"",IF(B272&lt;'Investering &amp; Financiering'!$E$52-1,0,IF('Qredits maandlasten'!$C$10="Lineair",'Qredits maandlasten'!$H$4,IF('Qredits maandlasten'!$C$10="Annuïteit",IFERROR('Qredits maandlasten'!$H$4-K273,0),0)))))</f>
        <v/>
      </c>
      <c r="K273" s="423" t="str">
        <f>IF($B272="","",IF($B272+1&gt;'Qredits maandlasten'!$C$7,"",G273*I273*'Qredits maandlasten'!$C$8/12))</f>
        <v/>
      </c>
      <c r="L273" s="423" t="str">
        <f t="shared" si="22"/>
        <v/>
      </c>
      <c r="M273" s="423" t="str">
        <f t="shared" si="20"/>
        <v/>
      </c>
      <c r="N273" s="422"/>
      <c r="O273" s="424" t="str">
        <f>IF($B273="","",'Qredits maandlasten'!$C$8/12)</f>
        <v/>
      </c>
      <c r="P273" s="424" t="str">
        <f>IF($B273="","",'Qredits maandlasten'!$C$8/12*(POWER(1+'Qredits maandlasten'!$C$8/12,$B273-1+1)))</f>
        <v/>
      </c>
      <c r="Q273" s="424" t="str">
        <f t="shared" si="23"/>
        <v/>
      </c>
      <c r="R273" s="422"/>
      <c r="S273" s="423" t="str">
        <f t="shared" si="21"/>
        <v/>
      </c>
      <c r="T273" s="423" t="str">
        <f>IF(S273="","",J273/(POWER(1+'Qredits maandlasten'!$C$8/12,$B273-1+1)))</f>
        <v/>
      </c>
      <c r="U273" s="425" t="str">
        <f t="shared" si="24"/>
        <v/>
      </c>
      <c r="V273" s="423" t="str">
        <f>IF($B273="","",K273/(POWER(1+'Qredits maandlasten'!$C$8/12,$B273-1+1)))</f>
        <v/>
      </c>
      <c r="W273" s="422"/>
    </row>
    <row r="274" spans="1:23" s="427" customFormat="1" x14ac:dyDescent="0.2">
      <c r="A274" s="418"/>
      <c r="B274" s="419" t="str">
        <f>IF($B273="","",IF($B273+1&gt;'Qredits maandlasten'!$C$7,"",Schema!B273+1))</f>
        <v/>
      </c>
      <c r="C274" s="420" t="str">
        <f>IF($B273="","",IF($B273+1&gt;'Qredits maandlasten'!$C$7,"",EOMONTH(C273,0)+1))</f>
        <v/>
      </c>
      <c r="D274" s="418"/>
      <c r="E274" s="420" t="str">
        <f>IF($B273="","",IF($B273+1&gt;'Qredits maandlasten'!$C$7,"",F273+1))</f>
        <v/>
      </c>
      <c r="F274" s="420" t="str">
        <f>IF($B273="","",IF($B273+1&gt;'Qredits maandlasten'!$C$7,"",EOMONTH(C274,-1)))</f>
        <v/>
      </c>
      <c r="G274" s="421" t="str">
        <f>IF($B273="","",IF($B273+1&gt;'Qredits maandlasten'!$C$7,"",(_xlfn.DAYS(F274,E274)+1)/DAY(F274)))</f>
        <v/>
      </c>
      <c r="H274" s="422"/>
      <c r="I274" s="423" t="str">
        <f>IF($B273="","",IF($B273+1&gt;'Qredits maandlasten'!$C$7,"",I273-J273))</f>
        <v/>
      </c>
      <c r="J274" s="423" t="str">
        <f>IF($B273="","",IF($B273+1&gt;'Qredits maandlasten'!$C$7,"",IF(B273&lt;'Investering &amp; Financiering'!$E$52-1,0,IF('Qredits maandlasten'!$C$10="Lineair",'Qredits maandlasten'!$H$4,IF('Qredits maandlasten'!$C$10="Annuïteit",IFERROR('Qredits maandlasten'!$H$4-K274,0),0)))))</f>
        <v/>
      </c>
      <c r="K274" s="423" t="str">
        <f>IF($B273="","",IF($B273+1&gt;'Qredits maandlasten'!$C$7,"",G274*I274*'Qredits maandlasten'!$C$8/12))</f>
        <v/>
      </c>
      <c r="L274" s="423" t="str">
        <f t="shared" si="22"/>
        <v/>
      </c>
      <c r="M274" s="423" t="str">
        <f t="shared" si="20"/>
        <v/>
      </c>
      <c r="N274" s="422"/>
      <c r="O274" s="424" t="str">
        <f>IF($B274="","",'Qredits maandlasten'!$C$8/12)</f>
        <v/>
      </c>
      <c r="P274" s="424" t="str">
        <f>IF($B274="","",'Qredits maandlasten'!$C$8/12*(POWER(1+'Qredits maandlasten'!$C$8/12,$B274-1+1)))</f>
        <v/>
      </c>
      <c r="Q274" s="424" t="str">
        <f t="shared" si="23"/>
        <v/>
      </c>
      <c r="R274" s="422"/>
      <c r="S274" s="423" t="str">
        <f t="shared" si="21"/>
        <v/>
      </c>
      <c r="T274" s="423" t="str">
        <f>IF(S274="","",J274/(POWER(1+'Qredits maandlasten'!$C$8/12,$B274-1+1)))</f>
        <v/>
      </c>
      <c r="U274" s="425" t="str">
        <f t="shared" si="24"/>
        <v/>
      </c>
      <c r="V274" s="423" t="str">
        <f>IF($B274="","",K274/(POWER(1+'Qredits maandlasten'!$C$8/12,$B274-1+1)))</f>
        <v/>
      </c>
      <c r="W274" s="422"/>
    </row>
    <row r="275" spans="1:23" s="427" customFormat="1" x14ac:dyDescent="0.2">
      <c r="A275" s="418"/>
      <c r="B275" s="419" t="str">
        <f>IF($B274="","",IF($B274+1&gt;'Qredits maandlasten'!$C$7,"",Schema!B274+1))</f>
        <v/>
      </c>
      <c r="C275" s="420" t="str">
        <f>IF($B274="","",IF($B274+1&gt;'Qredits maandlasten'!$C$7,"",EOMONTH(C274,0)+1))</f>
        <v/>
      </c>
      <c r="D275" s="418"/>
      <c r="E275" s="420" t="str">
        <f>IF($B274="","",IF($B274+1&gt;'Qredits maandlasten'!$C$7,"",F274+1))</f>
        <v/>
      </c>
      <c r="F275" s="420" t="str">
        <f>IF($B274="","",IF($B274+1&gt;'Qredits maandlasten'!$C$7,"",EOMONTH(C275,-1)))</f>
        <v/>
      </c>
      <c r="G275" s="421" t="str">
        <f>IF($B274="","",IF($B274+1&gt;'Qredits maandlasten'!$C$7,"",(_xlfn.DAYS(F275,E275)+1)/DAY(F275)))</f>
        <v/>
      </c>
      <c r="H275" s="422"/>
      <c r="I275" s="423" t="str">
        <f>IF($B274="","",IF($B274+1&gt;'Qredits maandlasten'!$C$7,"",I274-J274))</f>
        <v/>
      </c>
      <c r="J275" s="423" t="str">
        <f>IF($B274="","",IF($B274+1&gt;'Qredits maandlasten'!$C$7,"",IF(B274&lt;'Investering &amp; Financiering'!$E$52-1,0,IF('Qredits maandlasten'!$C$10="Lineair",'Qredits maandlasten'!$H$4,IF('Qredits maandlasten'!$C$10="Annuïteit",IFERROR('Qredits maandlasten'!$H$4-K275,0),0)))))</f>
        <v/>
      </c>
      <c r="K275" s="423" t="str">
        <f>IF($B274="","",IF($B274+1&gt;'Qredits maandlasten'!$C$7,"",G275*I275*'Qredits maandlasten'!$C$8/12))</f>
        <v/>
      </c>
      <c r="L275" s="423" t="str">
        <f t="shared" si="22"/>
        <v/>
      </c>
      <c r="M275" s="423" t="str">
        <f t="shared" si="20"/>
        <v/>
      </c>
      <c r="N275" s="422"/>
      <c r="O275" s="424" t="str">
        <f>IF($B275="","",'Qredits maandlasten'!$C$8/12)</f>
        <v/>
      </c>
      <c r="P275" s="424" t="str">
        <f>IF($B275="","",'Qredits maandlasten'!$C$8/12*(POWER(1+'Qredits maandlasten'!$C$8/12,$B275-1+1)))</f>
        <v/>
      </c>
      <c r="Q275" s="424" t="str">
        <f t="shared" si="23"/>
        <v/>
      </c>
      <c r="R275" s="422"/>
      <c r="S275" s="423" t="str">
        <f t="shared" si="21"/>
        <v/>
      </c>
      <c r="T275" s="423" t="str">
        <f>IF(S275="","",J275/(POWER(1+'Qredits maandlasten'!$C$8/12,$B275-1+1)))</f>
        <v/>
      </c>
      <c r="U275" s="425" t="str">
        <f t="shared" si="24"/>
        <v/>
      </c>
      <c r="V275" s="423" t="str">
        <f>IF($B275="","",K275/(POWER(1+'Qredits maandlasten'!$C$8/12,$B275-1+1)))</f>
        <v/>
      </c>
      <c r="W275" s="422"/>
    </row>
    <row r="276" spans="1:23" s="427" customFormat="1" x14ac:dyDescent="0.2">
      <c r="A276" s="418"/>
      <c r="B276" s="419" t="str">
        <f>IF($B275="","",IF($B275+1&gt;'Qredits maandlasten'!$C$7,"",Schema!B275+1))</f>
        <v/>
      </c>
      <c r="C276" s="420" t="str">
        <f>IF($B275="","",IF($B275+1&gt;'Qredits maandlasten'!$C$7,"",EOMONTH(C275,0)+1))</f>
        <v/>
      </c>
      <c r="D276" s="418"/>
      <c r="E276" s="420" t="str">
        <f>IF($B275="","",IF($B275+1&gt;'Qredits maandlasten'!$C$7,"",F275+1))</f>
        <v/>
      </c>
      <c r="F276" s="420" t="str">
        <f>IF($B275="","",IF($B275+1&gt;'Qredits maandlasten'!$C$7,"",EOMONTH(C276,-1)))</f>
        <v/>
      </c>
      <c r="G276" s="421" t="str">
        <f>IF($B275="","",IF($B275+1&gt;'Qredits maandlasten'!$C$7,"",(_xlfn.DAYS(F276,E276)+1)/DAY(F276)))</f>
        <v/>
      </c>
      <c r="H276" s="422"/>
      <c r="I276" s="423" t="str">
        <f>IF($B275="","",IF($B275+1&gt;'Qredits maandlasten'!$C$7,"",I275-J275))</f>
        <v/>
      </c>
      <c r="J276" s="423" t="str">
        <f>IF($B275="","",IF($B275+1&gt;'Qredits maandlasten'!$C$7,"",IF(B275&lt;'Investering &amp; Financiering'!$E$52-1,0,IF('Qredits maandlasten'!$C$10="Lineair",'Qredits maandlasten'!$H$4,IF('Qredits maandlasten'!$C$10="Annuïteit",IFERROR('Qredits maandlasten'!$H$4-K276,0),0)))))</f>
        <v/>
      </c>
      <c r="K276" s="423" t="str">
        <f>IF($B275="","",IF($B275+1&gt;'Qredits maandlasten'!$C$7,"",G276*I276*'Qredits maandlasten'!$C$8/12))</f>
        <v/>
      </c>
      <c r="L276" s="423" t="str">
        <f t="shared" si="22"/>
        <v/>
      </c>
      <c r="M276" s="423" t="str">
        <f t="shared" si="20"/>
        <v/>
      </c>
      <c r="N276" s="422"/>
      <c r="O276" s="424" t="str">
        <f>IF($B276="","",'Qredits maandlasten'!$C$8/12)</f>
        <v/>
      </c>
      <c r="P276" s="424" t="str">
        <f>IF($B276="","",'Qredits maandlasten'!$C$8/12*(POWER(1+'Qredits maandlasten'!$C$8/12,$B276-1+1)))</f>
        <v/>
      </c>
      <c r="Q276" s="424" t="str">
        <f t="shared" si="23"/>
        <v/>
      </c>
      <c r="R276" s="422"/>
      <c r="S276" s="423" t="str">
        <f t="shared" si="21"/>
        <v/>
      </c>
      <c r="T276" s="423" t="str">
        <f>IF(S276="","",J276/(POWER(1+'Qredits maandlasten'!$C$8/12,$B276-1+1)))</f>
        <v/>
      </c>
      <c r="U276" s="425" t="str">
        <f t="shared" si="24"/>
        <v/>
      </c>
      <c r="V276" s="423" t="str">
        <f>IF($B276="","",K276/(POWER(1+'Qredits maandlasten'!$C$8/12,$B276-1+1)))</f>
        <v/>
      </c>
      <c r="W276" s="422"/>
    </row>
    <row r="277" spans="1:23" s="427" customFormat="1" x14ac:dyDescent="0.2">
      <c r="A277" s="418"/>
      <c r="B277" s="419" t="str">
        <f>IF($B276="","",IF($B276+1&gt;'Qredits maandlasten'!$C$7,"",Schema!B276+1))</f>
        <v/>
      </c>
      <c r="C277" s="420" t="str">
        <f>IF($B276="","",IF($B276+1&gt;'Qredits maandlasten'!$C$7,"",EOMONTH(C276,0)+1))</f>
        <v/>
      </c>
      <c r="D277" s="418"/>
      <c r="E277" s="420" t="str">
        <f>IF($B276="","",IF($B276+1&gt;'Qredits maandlasten'!$C$7,"",F276+1))</f>
        <v/>
      </c>
      <c r="F277" s="420" t="str">
        <f>IF($B276="","",IF($B276+1&gt;'Qredits maandlasten'!$C$7,"",EOMONTH(C277,-1)))</f>
        <v/>
      </c>
      <c r="G277" s="421" t="str">
        <f>IF($B276="","",IF($B276+1&gt;'Qredits maandlasten'!$C$7,"",(_xlfn.DAYS(F277,E277)+1)/DAY(F277)))</f>
        <v/>
      </c>
      <c r="H277" s="422"/>
      <c r="I277" s="423" t="str">
        <f>IF($B276="","",IF($B276+1&gt;'Qredits maandlasten'!$C$7,"",I276-J276))</f>
        <v/>
      </c>
      <c r="J277" s="423" t="str">
        <f>IF($B276="","",IF($B276+1&gt;'Qredits maandlasten'!$C$7,"",IF(B276&lt;'Investering &amp; Financiering'!$E$52-1,0,IF('Qredits maandlasten'!$C$10="Lineair",'Qredits maandlasten'!$H$4,IF('Qredits maandlasten'!$C$10="Annuïteit",IFERROR('Qredits maandlasten'!$H$4-K277,0),0)))))</f>
        <v/>
      </c>
      <c r="K277" s="423" t="str">
        <f>IF($B276="","",IF($B276+1&gt;'Qredits maandlasten'!$C$7,"",G277*I277*'Qredits maandlasten'!$C$8/12))</f>
        <v/>
      </c>
      <c r="L277" s="423" t="str">
        <f t="shared" si="22"/>
        <v/>
      </c>
      <c r="M277" s="423" t="str">
        <f t="shared" si="20"/>
        <v/>
      </c>
      <c r="N277" s="422"/>
      <c r="O277" s="424" t="str">
        <f>IF($B277="","",'Qredits maandlasten'!$C$8/12)</f>
        <v/>
      </c>
      <c r="P277" s="424" t="str">
        <f>IF($B277="","",'Qredits maandlasten'!$C$8/12*(POWER(1+'Qredits maandlasten'!$C$8/12,$B277-1+1)))</f>
        <v/>
      </c>
      <c r="Q277" s="424" t="str">
        <f t="shared" si="23"/>
        <v/>
      </c>
      <c r="R277" s="422"/>
      <c r="S277" s="423" t="str">
        <f t="shared" si="21"/>
        <v/>
      </c>
      <c r="T277" s="423" t="str">
        <f>IF(S277="","",J277/(POWER(1+'Qredits maandlasten'!$C$8/12,$B277-1+1)))</f>
        <v/>
      </c>
      <c r="U277" s="425" t="str">
        <f t="shared" si="24"/>
        <v/>
      </c>
      <c r="V277" s="423" t="str">
        <f>IF($B277="","",K277/(POWER(1+'Qredits maandlasten'!$C$8/12,$B277-1+1)))</f>
        <v/>
      </c>
      <c r="W277" s="422"/>
    </row>
    <row r="278" spans="1:23" s="427" customFormat="1" x14ac:dyDescent="0.2">
      <c r="A278" s="418"/>
      <c r="B278" s="419" t="str">
        <f>IF($B277="","",IF($B277+1&gt;'Qredits maandlasten'!$C$7,"",Schema!B277+1))</f>
        <v/>
      </c>
      <c r="C278" s="420" t="str">
        <f>IF($B277="","",IF($B277+1&gt;'Qredits maandlasten'!$C$7,"",EOMONTH(C277,0)+1))</f>
        <v/>
      </c>
      <c r="D278" s="418"/>
      <c r="E278" s="420" t="str">
        <f>IF($B277="","",IF($B277+1&gt;'Qredits maandlasten'!$C$7,"",F277+1))</f>
        <v/>
      </c>
      <c r="F278" s="420" t="str">
        <f>IF($B277="","",IF($B277+1&gt;'Qredits maandlasten'!$C$7,"",EOMONTH(C278,-1)))</f>
        <v/>
      </c>
      <c r="G278" s="421" t="str">
        <f>IF($B277="","",IF($B277+1&gt;'Qredits maandlasten'!$C$7,"",(_xlfn.DAYS(F278,E278)+1)/DAY(F278)))</f>
        <v/>
      </c>
      <c r="H278" s="422"/>
      <c r="I278" s="423" t="str">
        <f>IF($B277="","",IF($B277+1&gt;'Qredits maandlasten'!$C$7,"",I277-J277))</f>
        <v/>
      </c>
      <c r="J278" s="423" t="str">
        <f>IF($B277="","",IF($B277+1&gt;'Qredits maandlasten'!$C$7,"",IF(B277&lt;'Investering &amp; Financiering'!$E$52-1,0,IF('Qredits maandlasten'!$C$10="Lineair",'Qredits maandlasten'!$H$4,IF('Qredits maandlasten'!$C$10="Annuïteit",IFERROR('Qredits maandlasten'!$H$4-K278,0),0)))))</f>
        <v/>
      </c>
      <c r="K278" s="423" t="str">
        <f>IF($B277="","",IF($B277+1&gt;'Qredits maandlasten'!$C$7,"",G278*I278*'Qredits maandlasten'!$C$8/12))</f>
        <v/>
      </c>
      <c r="L278" s="423" t="str">
        <f t="shared" si="22"/>
        <v/>
      </c>
      <c r="M278" s="423" t="str">
        <f t="shared" si="20"/>
        <v/>
      </c>
      <c r="N278" s="422"/>
      <c r="O278" s="424" t="str">
        <f>IF($B278="","",'Qredits maandlasten'!$C$8/12)</f>
        <v/>
      </c>
      <c r="P278" s="424" t="str">
        <f>IF($B278="","",'Qredits maandlasten'!$C$8/12*(POWER(1+'Qredits maandlasten'!$C$8/12,$B278-1+1)))</f>
        <v/>
      </c>
      <c r="Q278" s="424" t="str">
        <f t="shared" si="23"/>
        <v/>
      </c>
      <c r="R278" s="422"/>
      <c r="S278" s="423" t="str">
        <f t="shared" si="21"/>
        <v/>
      </c>
      <c r="T278" s="423" t="str">
        <f>IF(S278="","",J278/(POWER(1+'Qredits maandlasten'!$C$8/12,$B278-1+1)))</f>
        <v/>
      </c>
      <c r="U278" s="425" t="str">
        <f t="shared" si="24"/>
        <v/>
      </c>
      <c r="V278" s="423" t="str">
        <f>IF($B278="","",K278/(POWER(1+'Qredits maandlasten'!$C$8/12,$B278-1+1)))</f>
        <v/>
      </c>
      <c r="W278" s="422"/>
    </row>
    <row r="279" spans="1:23" s="427" customFormat="1" x14ac:dyDescent="0.2">
      <c r="A279" s="418"/>
      <c r="B279" s="419" t="str">
        <f>IF($B278="","",IF($B278+1&gt;'Qredits maandlasten'!$C$7,"",Schema!B278+1))</f>
        <v/>
      </c>
      <c r="C279" s="420" t="str">
        <f>IF($B278="","",IF($B278+1&gt;'Qredits maandlasten'!$C$7,"",EOMONTH(C278,0)+1))</f>
        <v/>
      </c>
      <c r="D279" s="418"/>
      <c r="E279" s="420" t="str">
        <f>IF($B278="","",IF($B278+1&gt;'Qredits maandlasten'!$C$7,"",F278+1))</f>
        <v/>
      </c>
      <c r="F279" s="420" t="str">
        <f>IF($B278="","",IF($B278+1&gt;'Qredits maandlasten'!$C$7,"",EOMONTH(C279,-1)))</f>
        <v/>
      </c>
      <c r="G279" s="421" t="str">
        <f>IF($B278="","",IF($B278+1&gt;'Qredits maandlasten'!$C$7,"",(_xlfn.DAYS(F279,E279)+1)/DAY(F279)))</f>
        <v/>
      </c>
      <c r="H279" s="422"/>
      <c r="I279" s="423" t="str">
        <f>IF($B278="","",IF($B278+1&gt;'Qredits maandlasten'!$C$7,"",I278-J278))</f>
        <v/>
      </c>
      <c r="J279" s="423" t="str">
        <f>IF($B278="","",IF($B278+1&gt;'Qredits maandlasten'!$C$7,"",IF(B278&lt;'Investering &amp; Financiering'!$E$52-1,0,IF('Qredits maandlasten'!$C$10="Lineair",'Qredits maandlasten'!$H$4,IF('Qredits maandlasten'!$C$10="Annuïteit",IFERROR('Qredits maandlasten'!$H$4-K279,0),0)))))</f>
        <v/>
      </c>
      <c r="K279" s="423" t="str">
        <f>IF($B278="","",IF($B278+1&gt;'Qredits maandlasten'!$C$7,"",G279*I279*'Qredits maandlasten'!$C$8/12))</f>
        <v/>
      </c>
      <c r="L279" s="423" t="str">
        <f t="shared" si="22"/>
        <v/>
      </c>
      <c r="M279" s="423" t="str">
        <f t="shared" si="20"/>
        <v/>
      </c>
      <c r="N279" s="422"/>
      <c r="O279" s="424" t="str">
        <f>IF($B279="","",'Qredits maandlasten'!$C$8/12)</f>
        <v/>
      </c>
      <c r="P279" s="424" t="str">
        <f>IF($B279="","",'Qredits maandlasten'!$C$8/12*(POWER(1+'Qredits maandlasten'!$C$8/12,$B279-1+1)))</f>
        <v/>
      </c>
      <c r="Q279" s="424" t="str">
        <f t="shared" si="23"/>
        <v/>
      </c>
      <c r="R279" s="422"/>
      <c r="S279" s="423" t="str">
        <f t="shared" si="21"/>
        <v/>
      </c>
      <c r="T279" s="423" t="str">
        <f>IF(S279="","",J279/(POWER(1+'Qredits maandlasten'!$C$8/12,$B279-1+1)))</f>
        <v/>
      </c>
      <c r="U279" s="425" t="str">
        <f t="shared" si="24"/>
        <v/>
      </c>
      <c r="V279" s="423" t="str">
        <f>IF($B279="","",K279/(POWER(1+'Qredits maandlasten'!$C$8/12,$B279-1+1)))</f>
        <v/>
      </c>
      <c r="W279" s="422"/>
    </row>
    <row r="280" spans="1:23" s="427" customFormat="1" x14ac:dyDescent="0.2">
      <c r="A280" s="418"/>
      <c r="B280" s="419" t="str">
        <f>IF($B279="","",IF($B279+1&gt;'Qredits maandlasten'!$C$7,"",Schema!B279+1))</f>
        <v/>
      </c>
      <c r="C280" s="420" t="str">
        <f>IF($B279="","",IF($B279+1&gt;'Qredits maandlasten'!$C$7,"",EOMONTH(C279,0)+1))</f>
        <v/>
      </c>
      <c r="D280" s="418"/>
      <c r="E280" s="420" t="str">
        <f>IF($B279="","",IF($B279+1&gt;'Qredits maandlasten'!$C$7,"",F279+1))</f>
        <v/>
      </c>
      <c r="F280" s="420" t="str">
        <f>IF($B279="","",IF($B279+1&gt;'Qredits maandlasten'!$C$7,"",EOMONTH(C280,-1)))</f>
        <v/>
      </c>
      <c r="G280" s="421" t="str">
        <f>IF($B279="","",IF($B279+1&gt;'Qredits maandlasten'!$C$7,"",(_xlfn.DAYS(F280,E280)+1)/DAY(F280)))</f>
        <v/>
      </c>
      <c r="H280" s="422"/>
      <c r="I280" s="423" t="str">
        <f>IF($B279="","",IF($B279+1&gt;'Qredits maandlasten'!$C$7,"",I279-J279))</f>
        <v/>
      </c>
      <c r="J280" s="423" t="str">
        <f>IF($B279="","",IF($B279+1&gt;'Qredits maandlasten'!$C$7,"",IF(B279&lt;'Investering &amp; Financiering'!$E$52-1,0,IF('Qredits maandlasten'!$C$10="Lineair",'Qredits maandlasten'!$H$4,IF('Qredits maandlasten'!$C$10="Annuïteit",IFERROR('Qredits maandlasten'!$H$4-K280,0),0)))))</f>
        <v/>
      </c>
      <c r="K280" s="423" t="str">
        <f>IF($B279="","",IF($B279+1&gt;'Qredits maandlasten'!$C$7,"",G280*I280*'Qredits maandlasten'!$C$8/12))</f>
        <v/>
      </c>
      <c r="L280" s="423" t="str">
        <f t="shared" si="22"/>
        <v/>
      </c>
      <c r="M280" s="423" t="str">
        <f t="shared" si="20"/>
        <v/>
      </c>
      <c r="N280" s="422"/>
      <c r="O280" s="424" t="str">
        <f>IF($B280="","",'Qredits maandlasten'!$C$8/12)</f>
        <v/>
      </c>
      <c r="P280" s="424" t="str">
        <f>IF($B280="","",'Qredits maandlasten'!$C$8/12*(POWER(1+'Qredits maandlasten'!$C$8/12,$B280-1+1)))</f>
        <v/>
      </c>
      <c r="Q280" s="424" t="str">
        <f t="shared" si="23"/>
        <v/>
      </c>
      <c r="R280" s="422"/>
      <c r="S280" s="423" t="str">
        <f t="shared" si="21"/>
        <v/>
      </c>
      <c r="T280" s="423" t="str">
        <f>IF(S280="","",J280/(POWER(1+'Qredits maandlasten'!$C$8/12,$B280-1+1)))</f>
        <v/>
      </c>
      <c r="U280" s="425" t="str">
        <f t="shared" si="24"/>
        <v/>
      </c>
      <c r="V280" s="423" t="str">
        <f>IF($B280="","",K280/(POWER(1+'Qredits maandlasten'!$C$8/12,$B280-1+1)))</f>
        <v/>
      </c>
      <c r="W280" s="422"/>
    </row>
    <row r="281" spans="1:23" s="427" customFormat="1" x14ac:dyDescent="0.2">
      <c r="A281" s="418"/>
      <c r="B281" s="419" t="str">
        <f>IF($B280="","",IF($B280+1&gt;'Qredits maandlasten'!$C$7,"",Schema!B280+1))</f>
        <v/>
      </c>
      <c r="C281" s="420" t="str">
        <f>IF($B280="","",IF($B280+1&gt;'Qredits maandlasten'!$C$7,"",EOMONTH(C280,0)+1))</f>
        <v/>
      </c>
      <c r="D281" s="418"/>
      <c r="E281" s="420" t="str">
        <f>IF($B280="","",IF($B280+1&gt;'Qredits maandlasten'!$C$7,"",F280+1))</f>
        <v/>
      </c>
      <c r="F281" s="420" t="str">
        <f>IF($B280="","",IF($B280+1&gt;'Qredits maandlasten'!$C$7,"",EOMONTH(C281,-1)))</f>
        <v/>
      </c>
      <c r="G281" s="421" t="str">
        <f>IF($B280="","",IF($B280+1&gt;'Qredits maandlasten'!$C$7,"",(_xlfn.DAYS(F281,E281)+1)/DAY(F281)))</f>
        <v/>
      </c>
      <c r="H281" s="422"/>
      <c r="I281" s="423" t="str">
        <f>IF($B280="","",IF($B280+1&gt;'Qredits maandlasten'!$C$7,"",I280-J280))</f>
        <v/>
      </c>
      <c r="J281" s="423" t="str">
        <f>IF($B280="","",IF($B280+1&gt;'Qredits maandlasten'!$C$7,"",IF(B280&lt;'Investering &amp; Financiering'!$E$52-1,0,IF('Qredits maandlasten'!$C$10="Lineair",'Qredits maandlasten'!$H$4,IF('Qredits maandlasten'!$C$10="Annuïteit",IFERROR('Qredits maandlasten'!$H$4-K281,0),0)))))</f>
        <v/>
      </c>
      <c r="K281" s="423" t="str">
        <f>IF($B280="","",IF($B280+1&gt;'Qredits maandlasten'!$C$7,"",G281*I281*'Qredits maandlasten'!$C$8/12))</f>
        <v/>
      </c>
      <c r="L281" s="423" t="str">
        <f t="shared" si="22"/>
        <v/>
      </c>
      <c r="M281" s="423" t="str">
        <f t="shared" si="20"/>
        <v/>
      </c>
      <c r="N281" s="422"/>
      <c r="O281" s="424" t="str">
        <f>IF($B281="","",'Qredits maandlasten'!$C$8/12)</f>
        <v/>
      </c>
      <c r="P281" s="424" t="str">
        <f>IF($B281="","",'Qredits maandlasten'!$C$8/12*(POWER(1+'Qredits maandlasten'!$C$8/12,$B281-1+1)))</f>
        <v/>
      </c>
      <c r="Q281" s="424" t="str">
        <f t="shared" si="23"/>
        <v/>
      </c>
      <c r="R281" s="422"/>
      <c r="S281" s="423" t="str">
        <f t="shared" si="21"/>
        <v/>
      </c>
      <c r="T281" s="423" t="str">
        <f>IF(S281="","",J281/(POWER(1+'Qredits maandlasten'!$C$8/12,$B281-1+1)))</f>
        <v/>
      </c>
      <c r="U281" s="425" t="str">
        <f t="shared" si="24"/>
        <v/>
      </c>
      <c r="V281" s="423" t="str">
        <f>IF($B281="","",K281/(POWER(1+'Qredits maandlasten'!$C$8/12,$B281-1+1)))</f>
        <v/>
      </c>
      <c r="W281" s="422"/>
    </row>
    <row r="282" spans="1:23" s="427" customFormat="1" x14ac:dyDescent="0.2">
      <c r="A282" s="418"/>
      <c r="B282" s="419" t="str">
        <f>IF($B281="","",IF($B281+1&gt;'Qredits maandlasten'!$C$7,"",Schema!B281+1))</f>
        <v/>
      </c>
      <c r="C282" s="420" t="str">
        <f>IF($B281="","",IF($B281+1&gt;'Qredits maandlasten'!$C$7,"",EOMONTH(C281,0)+1))</f>
        <v/>
      </c>
      <c r="D282" s="418"/>
      <c r="E282" s="420" t="str">
        <f>IF($B281="","",IF($B281+1&gt;'Qredits maandlasten'!$C$7,"",F281+1))</f>
        <v/>
      </c>
      <c r="F282" s="420" t="str">
        <f>IF($B281="","",IF($B281+1&gt;'Qredits maandlasten'!$C$7,"",EOMONTH(C282,-1)))</f>
        <v/>
      </c>
      <c r="G282" s="421" t="str">
        <f>IF($B281="","",IF($B281+1&gt;'Qredits maandlasten'!$C$7,"",(_xlfn.DAYS(F282,E282)+1)/DAY(F282)))</f>
        <v/>
      </c>
      <c r="H282" s="422"/>
      <c r="I282" s="423" t="str">
        <f>IF($B281="","",IF($B281+1&gt;'Qredits maandlasten'!$C$7,"",I281-J281))</f>
        <v/>
      </c>
      <c r="J282" s="423" t="str">
        <f>IF($B281="","",IF($B281+1&gt;'Qredits maandlasten'!$C$7,"",IF(B281&lt;'Investering &amp; Financiering'!$E$52-1,0,IF('Qredits maandlasten'!$C$10="Lineair",'Qredits maandlasten'!$H$4,IF('Qredits maandlasten'!$C$10="Annuïteit",IFERROR('Qredits maandlasten'!$H$4-K282,0),0)))))</f>
        <v/>
      </c>
      <c r="K282" s="423" t="str">
        <f>IF($B281="","",IF($B281+1&gt;'Qredits maandlasten'!$C$7,"",G282*I282*'Qredits maandlasten'!$C$8/12))</f>
        <v/>
      </c>
      <c r="L282" s="423" t="str">
        <f t="shared" si="22"/>
        <v/>
      </c>
      <c r="M282" s="423" t="str">
        <f t="shared" si="20"/>
        <v/>
      </c>
      <c r="N282" s="422"/>
      <c r="O282" s="424" t="str">
        <f>IF($B282="","",'Qredits maandlasten'!$C$8/12)</f>
        <v/>
      </c>
      <c r="P282" s="424" t="str">
        <f>IF($B282="","",'Qredits maandlasten'!$C$8/12*(POWER(1+'Qredits maandlasten'!$C$8/12,$B282-1+1)))</f>
        <v/>
      </c>
      <c r="Q282" s="424" t="str">
        <f t="shared" si="23"/>
        <v/>
      </c>
      <c r="R282" s="422"/>
      <c r="S282" s="423" t="str">
        <f t="shared" si="21"/>
        <v/>
      </c>
      <c r="T282" s="423" t="str">
        <f>IF(S282="","",J282/(POWER(1+'Qredits maandlasten'!$C$8/12,$B282-1+1)))</f>
        <v/>
      </c>
      <c r="U282" s="425" t="str">
        <f t="shared" si="24"/>
        <v/>
      </c>
      <c r="V282" s="423" t="str">
        <f>IF($B282="","",K282/(POWER(1+'Qredits maandlasten'!$C$8/12,$B282-1+1)))</f>
        <v/>
      </c>
      <c r="W282" s="422"/>
    </row>
    <row r="283" spans="1:23" s="427" customFormat="1" x14ac:dyDescent="0.2">
      <c r="A283" s="418"/>
      <c r="B283" s="419" t="str">
        <f>IF($B282="","",IF($B282+1&gt;'Qredits maandlasten'!$C$7,"",Schema!B282+1))</f>
        <v/>
      </c>
      <c r="C283" s="420" t="str">
        <f>IF($B282="","",IF($B282+1&gt;'Qredits maandlasten'!$C$7,"",EOMONTH(C282,0)+1))</f>
        <v/>
      </c>
      <c r="D283" s="418"/>
      <c r="E283" s="420" t="str">
        <f>IF($B282="","",IF($B282+1&gt;'Qredits maandlasten'!$C$7,"",F282+1))</f>
        <v/>
      </c>
      <c r="F283" s="420" t="str">
        <f>IF($B282="","",IF($B282+1&gt;'Qredits maandlasten'!$C$7,"",EOMONTH(C283,-1)))</f>
        <v/>
      </c>
      <c r="G283" s="421" t="str">
        <f>IF($B282="","",IF($B282+1&gt;'Qredits maandlasten'!$C$7,"",(_xlfn.DAYS(F283,E283)+1)/DAY(F283)))</f>
        <v/>
      </c>
      <c r="H283" s="422"/>
      <c r="I283" s="423" t="str">
        <f>IF($B282="","",IF($B282+1&gt;'Qredits maandlasten'!$C$7,"",I282-J282))</f>
        <v/>
      </c>
      <c r="J283" s="423" t="str">
        <f>IF($B282="","",IF($B282+1&gt;'Qredits maandlasten'!$C$7,"",IF(B282&lt;'Investering &amp; Financiering'!$E$52-1,0,IF('Qredits maandlasten'!$C$10="Lineair",'Qredits maandlasten'!$H$4,IF('Qredits maandlasten'!$C$10="Annuïteit",IFERROR('Qredits maandlasten'!$H$4-K283,0),0)))))</f>
        <v/>
      </c>
      <c r="K283" s="423" t="str">
        <f>IF($B282="","",IF($B282+1&gt;'Qredits maandlasten'!$C$7,"",G283*I283*'Qredits maandlasten'!$C$8/12))</f>
        <v/>
      </c>
      <c r="L283" s="423" t="str">
        <f t="shared" si="22"/>
        <v/>
      </c>
      <c r="M283" s="423" t="str">
        <f t="shared" si="20"/>
        <v/>
      </c>
      <c r="N283" s="422"/>
      <c r="O283" s="424" t="str">
        <f>IF($B283="","",'Qredits maandlasten'!$C$8/12)</f>
        <v/>
      </c>
      <c r="P283" s="424" t="str">
        <f>IF($B283="","",'Qredits maandlasten'!$C$8/12*(POWER(1+'Qredits maandlasten'!$C$8/12,$B283-1+1)))</f>
        <v/>
      </c>
      <c r="Q283" s="424" t="str">
        <f t="shared" si="23"/>
        <v/>
      </c>
      <c r="R283" s="422"/>
      <c r="S283" s="423" t="str">
        <f t="shared" si="21"/>
        <v/>
      </c>
      <c r="T283" s="423" t="str">
        <f>IF(S283="","",J283/(POWER(1+'Qredits maandlasten'!$C$8/12,$B283-1+1)))</f>
        <v/>
      </c>
      <c r="U283" s="425" t="str">
        <f t="shared" si="24"/>
        <v/>
      </c>
      <c r="V283" s="423" t="str">
        <f>IF($B283="","",K283/(POWER(1+'Qredits maandlasten'!$C$8/12,$B283-1+1)))</f>
        <v/>
      </c>
      <c r="W283" s="422"/>
    </row>
    <row r="284" spans="1:23" s="427" customFormat="1" x14ac:dyDescent="0.2">
      <c r="A284" s="418"/>
      <c r="B284" s="419" t="str">
        <f>IF($B283="","",IF($B283+1&gt;'Qredits maandlasten'!$C$7,"",Schema!B283+1))</f>
        <v/>
      </c>
      <c r="C284" s="420" t="str">
        <f>IF($B283="","",IF($B283+1&gt;'Qredits maandlasten'!$C$7,"",EOMONTH(C283,0)+1))</f>
        <v/>
      </c>
      <c r="D284" s="418"/>
      <c r="E284" s="420" t="str">
        <f>IF($B283="","",IF($B283+1&gt;'Qredits maandlasten'!$C$7,"",F283+1))</f>
        <v/>
      </c>
      <c r="F284" s="420" t="str">
        <f>IF($B283="","",IF($B283+1&gt;'Qredits maandlasten'!$C$7,"",EOMONTH(C284,-1)))</f>
        <v/>
      </c>
      <c r="G284" s="421" t="str">
        <f>IF($B283="","",IF($B283+1&gt;'Qredits maandlasten'!$C$7,"",(_xlfn.DAYS(F284,E284)+1)/DAY(F284)))</f>
        <v/>
      </c>
      <c r="H284" s="422"/>
      <c r="I284" s="423" t="str">
        <f>IF($B283="","",IF($B283+1&gt;'Qredits maandlasten'!$C$7,"",I283-J283))</f>
        <v/>
      </c>
      <c r="J284" s="423" t="str">
        <f>IF($B283="","",IF($B283+1&gt;'Qredits maandlasten'!$C$7,"",IF(B283&lt;'Investering &amp; Financiering'!$E$52-1,0,IF('Qredits maandlasten'!$C$10="Lineair",'Qredits maandlasten'!$H$4,IF('Qredits maandlasten'!$C$10="Annuïteit",IFERROR('Qredits maandlasten'!$H$4-K284,0),0)))))</f>
        <v/>
      </c>
      <c r="K284" s="423" t="str">
        <f>IF($B283="","",IF($B283+1&gt;'Qredits maandlasten'!$C$7,"",G284*I284*'Qredits maandlasten'!$C$8/12))</f>
        <v/>
      </c>
      <c r="L284" s="423" t="str">
        <f t="shared" si="22"/>
        <v/>
      </c>
      <c r="M284" s="423" t="str">
        <f t="shared" si="20"/>
        <v/>
      </c>
      <c r="N284" s="422"/>
      <c r="O284" s="424" t="str">
        <f>IF($B284="","",'Qredits maandlasten'!$C$8/12)</f>
        <v/>
      </c>
      <c r="P284" s="424" t="str">
        <f>IF($B284="","",'Qredits maandlasten'!$C$8/12*(POWER(1+'Qredits maandlasten'!$C$8/12,$B284-1+1)))</f>
        <v/>
      </c>
      <c r="Q284" s="424" t="str">
        <f t="shared" si="23"/>
        <v/>
      </c>
      <c r="R284" s="422"/>
      <c r="S284" s="423" t="str">
        <f t="shared" si="21"/>
        <v/>
      </c>
      <c r="T284" s="423" t="str">
        <f>IF(S284="","",J284/(POWER(1+'Qredits maandlasten'!$C$8/12,$B284-1+1)))</f>
        <v/>
      </c>
      <c r="U284" s="425" t="str">
        <f t="shared" si="24"/>
        <v/>
      </c>
      <c r="V284" s="423" t="str">
        <f>IF($B284="","",K284/(POWER(1+'Qredits maandlasten'!$C$8/12,$B284-1+1)))</f>
        <v/>
      </c>
      <c r="W284" s="422"/>
    </row>
    <row r="285" spans="1:23" s="427" customFormat="1" x14ac:dyDescent="0.2">
      <c r="A285" s="418"/>
      <c r="B285" s="419" t="str">
        <f>IF($B284="","",IF($B284+1&gt;'Qredits maandlasten'!$C$7,"",Schema!B284+1))</f>
        <v/>
      </c>
      <c r="C285" s="420" t="str">
        <f>IF($B284="","",IF($B284+1&gt;'Qredits maandlasten'!$C$7,"",EOMONTH(C284,0)+1))</f>
        <v/>
      </c>
      <c r="D285" s="418"/>
      <c r="E285" s="420" t="str">
        <f>IF($B284="","",IF($B284+1&gt;'Qredits maandlasten'!$C$7,"",F284+1))</f>
        <v/>
      </c>
      <c r="F285" s="420" t="str">
        <f>IF($B284="","",IF($B284+1&gt;'Qredits maandlasten'!$C$7,"",EOMONTH(C285,-1)))</f>
        <v/>
      </c>
      <c r="G285" s="421" t="str">
        <f>IF($B284="","",IF($B284+1&gt;'Qredits maandlasten'!$C$7,"",(_xlfn.DAYS(F285,E285)+1)/DAY(F285)))</f>
        <v/>
      </c>
      <c r="H285" s="422"/>
      <c r="I285" s="423" t="str">
        <f>IF($B284="","",IF($B284+1&gt;'Qredits maandlasten'!$C$7,"",I284-J284))</f>
        <v/>
      </c>
      <c r="J285" s="423" t="str">
        <f>IF($B284="","",IF($B284+1&gt;'Qredits maandlasten'!$C$7,"",IF(B284&lt;'Investering &amp; Financiering'!$E$52-1,0,IF('Qredits maandlasten'!$C$10="Lineair",'Qredits maandlasten'!$H$4,IF('Qredits maandlasten'!$C$10="Annuïteit",IFERROR('Qredits maandlasten'!$H$4-K285,0),0)))))</f>
        <v/>
      </c>
      <c r="K285" s="423" t="str">
        <f>IF($B284="","",IF($B284+1&gt;'Qredits maandlasten'!$C$7,"",G285*I285*'Qredits maandlasten'!$C$8/12))</f>
        <v/>
      </c>
      <c r="L285" s="423" t="str">
        <f t="shared" si="22"/>
        <v/>
      </c>
      <c r="M285" s="423" t="str">
        <f t="shared" si="20"/>
        <v/>
      </c>
      <c r="N285" s="422"/>
      <c r="O285" s="424" t="str">
        <f>IF($B285="","",'Qredits maandlasten'!$C$8/12)</f>
        <v/>
      </c>
      <c r="P285" s="424" t="str">
        <f>IF($B285="","",'Qredits maandlasten'!$C$8/12*(POWER(1+'Qredits maandlasten'!$C$8/12,$B285-1+1)))</f>
        <v/>
      </c>
      <c r="Q285" s="424" t="str">
        <f t="shared" si="23"/>
        <v/>
      </c>
      <c r="R285" s="422"/>
      <c r="S285" s="423" t="str">
        <f t="shared" si="21"/>
        <v/>
      </c>
      <c r="T285" s="423" t="str">
        <f>IF(S285="","",J285/(POWER(1+'Qredits maandlasten'!$C$8/12,$B285-1+1)))</f>
        <v/>
      </c>
      <c r="U285" s="425" t="str">
        <f t="shared" si="24"/>
        <v/>
      </c>
      <c r="V285" s="423" t="str">
        <f>IF($B285="","",K285/(POWER(1+'Qredits maandlasten'!$C$8/12,$B285-1+1)))</f>
        <v/>
      </c>
      <c r="W285" s="422"/>
    </row>
    <row r="286" spans="1:23" s="427" customFormat="1" x14ac:dyDescent="0.2">
      <c r="A286" s="418"/>
      <c r="B286" s="419" t="str">
        <f>IF($B285="","",IF($B285+1&gt;'Qredits maandlasten'!$C$7,"",Schema!B285+1))</f>
        <v/>
      </c>
      <c r="C286" s="420" t="str">
        <f>IF($B285="","",IF($B285+1&gt;'Qredits maandlasten'!$C$7,"",EOMONTH(C285,0)+1))</f>
        <v/>
      </c>
      <c r="D286" s="418"/>
      <c r="E286" s="420" t="str">
        <f>IF($B285="","",IF($B285+1&gt;'Qredits maandlasten'!$C$7,"",F285+1))</f>
        <v/>
      </c>
      <c r="F286" s="420" t="str">
        <f>IF($B285="","",IF($B285+1&gt;'Qredits maandlasten'!$C$7,"",EOMONTH(C286,-1)))</f>
        <v/>
      </c>
      <c r="G286" s="421" t="str">
        <f>IF($B285="","",IF($B285+1&gt;'Qredits maandlasten'!$C$7,"",(_xlfn.DAYS(F286,E286)+1)/DAY(F286)))</f>
        <v/>
      </c>
      <c r="H286" s="422"/>
      <c r="I286" s="423" t="str">
        <f>IF($B285="","",IF($B285+1&gt;'Qredits maandlasten'!$C$7,"",I285-J285))</f>
        <v/>
      </c>
      <c r="J286" s="423" t="str">
        <f>IF($B285="","",IF($B285+1&gt;'Qredits maandlasten'!$C$7,"",IF(B285&lt;'Investering &amp; Financiering'!$E$52-1,0,IF('Qredits maandlasten'!$C$10="Lineair",'Qredits maandlasten'!$H$4,IF('Qredits maandlasten'!$C$10="Annuïteit",IFERROR('Qredits maandlasten'!$H$4-K286,0),0)))))</f>
        <v/>
      </c>
      <c r="K286" s="423" t="str">
        <f>IF($B285="","",IF($B285+1&gt;'Qredits maandlasten'!$C$7,"",G286*I286*'Qredits maandlasten'!$C$8/12))</f>
        <v/>
      </c>
      <c r="L286" s="423" t="str">
        <f t="shared" si="22"/>
        <v/>
      </c>
      <c r="M286" s="423" t="str">
        <f t="shared" si="20"/>
        <v/>
      </c>
      <c r="N286" s="422"/>
      <c r="O286" s="424" t="str">
        <f>IF($B286="","",'Qredits maandlasten'!$C$8/12)</f>
        <v/>
      </c>
      <c r="P286" s="424" t="str">
        <f>IF($B286="","",'Qredits maandlasten'!$C$8/12*(POWER(1+'Qredits maandlasten'!$C$8/12,$B286-1+1)))</f>
        <v/>
      </c>
      <c r="Q286" s="424" t="str">
        <f t="shared" si="23"/>
        <v/>
      </c>
      <c r="R286" s="422"/>
      <c r="S286" s="423" t="str">
        <f t="shared" si="21"/>
        <v/>
      </c>
      <c r="T286" s="423" t="str">
        <f>IF(S286="","",J286/(POWER(1+'Qredits maandlasten'!$C$8/12,$B286-1+1)))</f>
        <v/>
      </c>
      <c r="U286" s="425" t="str">
        <f t="shared" si="24"/>
        <v/>
      </c>
      <c r="V286" s="423" t="str">
        <f>IF($B286="","",K286/(POWER(1+'Qredits maandlasten'!$C$8/12,$B286-1+1)))</f>
        <v/>
      </c>
      <c r="W286" s="422"/>
    </row>
    <row r="287" spans="1:23" s="427" customFormat="1" x14ac:dyDescent="0.2">
      <c r="A287" s="418"/>
      <c r="B287" s="419" t="str">
        <f>IF($B286="","",IF($B286+1&gt;'Qredits maandlasten'!$C$7,"",Schema!B286+1))</f>
        <v/>
      </c>
      <c r="C287" s="420" t="str">
        <f>IF($B286="","",IF($B286+1&gt;'Qredits maandlasten'!$C$7,"",EOMONTH(C286,0)+1))</f>
        <v/>
      </c>
      <c r="D287" s="418"/>
      <c r="E287" s="420" t="str">
        <f>IF($B286="","",IF($B286+1&gt;'Qredits maandlasten'!$C$7,"",F286+1))</f>
        <v/>
      </c>
      <c r="F287" s="420" t="str">
        <f>IF($B286="","",IF($B286+1&gt;'Qredits maandlasten'!$C$7,"",EOMONTH(C287,-1)))</f>
        <v/>
      </c>
      <c r="G287" s="421" t="str">
        <f>IF($B286="","",IF($B286+1&gt;'Qredits maandlasten'!$C$7,"",(_xlfn.DAYS(F287,E287)+1)/DAY(F287)))</f>
        <v/>
      </c>
      <c r="H287" s="422"/>
      <c r="I287" s="423" t="str">
        <f>IF($B286="","",IF($B286+1&gt;'Qredits maandlasten'!$C$7,"",I286-J286))</f>
        <v/>
      </c>
      <c r="J287" s="423" t="str">
        <f>IF($B286="","",IF($B286+1&gt;'Qredits maandlasten'!$C$7,"",IF(B286&lt;'Investering &amp; Financiering'!$E$52-1,0,IF('Qredits maandlasten'!$C$10="Lineair",'Qredits maandlasten'!$H$4,IF('Qredits maandlasten'!$C$10="Annuïteit",IFERROR('Qredits maandlasten'!$H$4-K287,0),0)))))</f>
        <v/>
      </c>
      <c r="K287" s="423" t="str">
        <f>IF($B286="","",IF($B286+1&gt;'Qredits maandlasten'!$C$7,"",G287*I287*'Qredits maandlasten'!$C$8/12))</f>
        <v/>
      </c>
      <c r="L287" s="423" t="str">
        <f t="shared" si="22"/>
        <v/>
      </c>
      <c r="M287" s="423" t="str">
        <f t="shared" si="20"/>
        <v/>
      </c>
      <c r="N287" s="422"/>
      <c r="O287" s="424" t="str">
        <f>IF($B287="","",'Qredits maandlasten'!$C$8/12)</f>
        <v/>
      </c>
      <c r="P287" s="424" t="str">
        <f>IF($B287="","",'Qredits maandlasten'!$C$8/12*(POWER(1+'Qredits maandlasten'!$C$8/12,$B287-1+1)))</f>
        <v/>
      </c>
      <c r="Q287" s="424" t="str">
        <f t="shared" si="23"/>
        <v/>
      </c>
      <c r="R287" s="422"/>
      <c r="S287" s="423" t="str">
        <f t="shared" si="21"/>
        <v/>
      </c>
      <c r="T287" s="423" t="str">
        <f>IF(S287="","",J287/(POWER(1+'Qredits maandlasten'!$C$8/12,$B287-1+1)))</f>
        <v/>
      </c>
      <c r="U287" s="425" t="str">
        <f t="shared" si="24"/>
        <v/>
      </c>
      <c r="V287" s="423" t="str">
        <f>IF($B287="","",K287/(POWER(1+'Qredits maandlasten'!$C$8/12,$B287-1+1)))</f>
        <v/>
      </c>
      <c r="W287" s="422"/>
    </row>
    <row r="288" spans="1:23" s="427" customFormat="1" x14ac:dyDescent="0.2">
      <c r="A288" s="418"/>
      <c r="B288" s="419" t="str">
        <f>IF($B287="","",IF($B287+1&gt;'Qredits maandlasten'!$C$7,"",Schema!B287+1))</f>
        <v/>
      </c>
      <c r="C288" s="420" t="str">
        <f>IF($B287="","",IF($B287+1&gt;'Qredits maandlasten'!$C$7,"",EOMONTH(C287,0)+1))</f>
        <v/>
      </c>
      <c r="D288" s="418"/>
      <c r="E288" s="420" t="str">
        <f>IF($B287="","",IF($B287+1&gt;'Qredits maandlasten'!$C$7,"",F287+1))</f>
        <v/>
      </c>
      <c r="F288" s="420" t="str">
        <f>IF($B287="","",IF($B287+1&gt;'Qredits maandlasten'!$C$7,"",EOMONTH(C288,-1)))</f>
        <v/>
      </c>
      <c r="G288" s="421" t="str">
        <f>IF($B287="","",IF($B287+1&gt;'Qredits maandlasten'!$C$7,"",(_xlfn.DAYS(F288,E288)+1)/DAY(F288)))</f>
        <v/>
      </c>
      <c r="H288" s="422"/>
      <c r="I288" s="423" t="str">
        <f>IF($B287="","",IF($B287+1&gt;'Qredits maandlasten'!$C$7,"",I287-J287))</f>
        <v/>
      </c>
      <c r="J288" s="423" t="str">
        <f>IF($B287="","",IF($B287+1&gt;'Qredits maandlasten'!$C$7,"",IF(B287&lt;'Investering &amp; Financiering'!$E$52-1,0,IF('Qredits maandlasten'!$C$10="Lineair",'Qredits maandlasten'!$H$4,IF('Qredits maandlasten'!$C$10="Annuïteit",IFERROR('Qredits maandlasten'!$H$4-K288,0),0)))))</f>
        <v/>
      </c>
      <c r="K288" s="423" t="str">
        <f>IF($B287="","",IF($B287+1&gt;'Qredits maandlasten'!$C$7,"",G288*I288*'Qredits maandlasten'!$C$8/12))</f>
        <v/>
      </c>
      <c r="L288" s="423" t="str">
        <f t="shared" si="22"/>
        <v/>
      </c>
      <c r="M288" s="423" t="str">
        <f t="shared" si="20"/>
        <v/>
      </c>
      <c r="N288" s="422"/>
      <c r="O288" s="424" t="str">
        <f>IF($B288="","",'Qredits maandlasten'!$C$8/12)</f>
        <v/>
      </c>
      <c r="P288" s="424" t="str">
        <f>IF($B288="","",'Qredits maandlasten'!$C$8/12*(POWER(1+'Qredits maandlasten'!$C$8/12,$B288-1+1)))</f>
        <v/>
      </c>
      <c r="Q288" s="424" t="str">
        <f t="shared" si="23"/>
        <v/>
      </c>
      <c r="R288" s="422"/>
      <c r="S288" s="423" t="str">
        <f t="shared" si="21"/>
        <v/>
      </c>
      <c r="T288" s="423" t="str">
        <f>IF(S288="","",J288/(POWER(1+'Qredits maandlasten'!$C$8/12,$B288-1+1)))</f>
        <v/>
      </c>
      <c r="U288" s="425" t="str">
        <f t="shared" si="24"/>
        <v/>
      </c>
      <c r="V288" s="423" t="str">
        <f>IF($B288="","",K288/(POWER(1+'Qredits maandlasten'!$C$8/12,$B288-1+1)))</f>
        <v/>
      </c>
      <c r="W288" s="422"/>
    </row>
    <row r="289" spans="1:23" s="427" customFormat="1" x14ac:dyDescent="0.2">
      <c r="A289" s="418"/>
      <c r="B289" s="419" t="str">
        <f>IF($B288="","",IF($B288+1&gt;'Qredits maandlasten'!$C$7,"",Schema!B288+1))</f>
        <v/>
      </c>
      <c r="C289" s="420" t="str">
        <f>IF($B288="","",IF($B288+1&gt;'Qredits maandlasten'!$C$7,"",EOMONTH(C288,0)+1))</f>
        <v/>
      </c>
      <c r="D289" s="418"/>
      <c r="E289" s="420" t="str">
        <f>IF($B288="","",IF($B288+1&gt;'Qredits maandlasten'!$C$7,"",F288+1))</f>
        <v/>
      </c>
      <c r="F289" s="420" t="str">
        <f>IF($B288="","",IF($B288+1&gt;'Qredits maandlasten'!$C$7,"",EOMONTH(C289,-1)))</f>
        <v/>
      </c>
      <c r="G289" s="421" t="str">
        <f>IF($B288="","",IF($B288+1&gt;'Qredits maandlasten'!$C$7,"",(_xlfn.DAYS(F289,E289)+1)/DAY(F289)))</f>
        <v/>
      </c>
      <c r="H289" s="422"/>
      <c r="I289" s="423" t="str">
        <f>IF($B288="","",IF($B288+1&gt;'Qredits maandlasten'!$C$7,"",I288-J288))</f>
        <v/>
      </c>
      <c r="J289" s="423" t="str">
        <f>IF($B288="","",IF($B288+1&gt;'Qredits maandlasten'!$C$7,"",IF(B288&lt;'Investering &amp; Financiering'!$E$52-1,0,IF('Qredits maandlasten'!$C$10="Lineair",'Qredits maandlasten'!$H$4,IF('Qredits maandlasten'!$C$10="Annuïteit",IFERROR('Qredits maandlasten'!$H$4-K289,0),0)))))</f>
        <v/>
      </c>
      <c r="K289" s="423" t="str">
        <f>IF($B288="","",IF($B288+1&gt;'Qredits maandlasten'!$C$7,"",G289*I289*'Qredits maandlasten'!$C$8/12))</f>
        <v/>
      </c>
      <c r="L289" s="423" t="str">
        <f t="shared" si="22"/>
        <v/>
      </c>
      <c r="M289" s="423" t="str">
        <f t="shared" si="20"/>
        <v/>
      </c>
      <c r="N289" s="422"/>
      <c r="O289" s="424" t="str">
        <f>IF($B289="","",'Qredits maandlasten'!$C$8/12)</f>
        <v/>
      </c>
      <c r="P289" s="424" t="str">
        <f>IF($B289="","",'Qredits maandlasten'!$C$8/12*(POWER(1+'Qredits maandlasten'!$C$8/12,$B289-1+1)))</f>
        <v/>
      </c>
      <c r="Q289" s="424" t="str">
        <f t="shared" si="23"/>
        <v/>
      </c>
      <c r="R289" s="422"/>
      <c r="S289" s="423" t="str">
        <f t="shared" si="21"/>
        <v/>
      </c>
      <c r="T289" s="423" t="str">
        <f>IF(S289="","",J289/(POWER(1+'Qredits maandlasten'!$C$8/12,$B289-1+1)))</f>
        <v/>
      </c>
      <c r="U289" s="425" t="str">
        <f t="shared" si="24"/>
        <v/>
      </c>
      <c r="V289" s="423" t="str">
        <f>IF($B289="","",K289/(POWER(1+'Qredits maandlasten'!$C$8/12,$B289-1+1)))</f>
        <v/>
      </c>
      <c r="W289" s="422"/>
    </row>
    <row r="290" spans="1:23" s="427" customFormat="1" x14ac:dyDescent="0.2">
      <c r="A290" s="418"/>
      <c r="B290" s="419" t="str">
        <f>IF($B289="","",IF($B289+1&gt;'Qredits maandlasten'!$C$7,"",Schema!B289+1))</f>
        <v/>
      </c>
      <c r="C290" s="420" t="str">
        <f>IF($B289="","",IF($B289+1&gt;'Qredits maandlasten'!$C$7,"",EOMONTH(C289,0)+1))</f>
        <v/>
      </c>
      <c r="D290" s="418"/>
      <c r="E290" s="420" t="str">
        <f>IF($B289="","",IF($B289+1&gt;'Qredits maandlasten'!$C$7,"",F289+1))</f>
        <v/>
      </c>
      <c r="F290" s="420" t="str">
        <f>IF($B289="","",IF($B289+1&gt;'Qredits maandlasten'!$C$7,"",EOMONTH(C290,-1)))</f>
        <v/>
      </c>
      <c r="G290" s="421" t="str">
        <f>IF($B289="","",IF($B289+1&gt;'Qredits maandlasten'!$C$7,"",(_xlfn.DAYS(F290,E290)+1)/DAY(F290)))</f>
        <v/>
      </c>
      <c r="H290" s="422"/>
      <c r="I290" s="423" t="str">
        <f>IF($B289="","",IF($B289+1&gt;'Qredits maandlasten'!$C$7,"",I289-J289))</f>
        <v/>
      </c>
      <c r="J290" s="423" t="str">
        <f>IF($B289="","",IF($B289+1&gt;'Qredits maandlasten'!$C$7,"",IF(B289&lt;'Investering &amp; Financiering'!$E$52-1,0,IF('Qredits maandlasten'!$C$10="Lineair",'Qredits maandlasten'!$H$4,IF('Qredits maandlasten'!$C$10="Annuïteit",IFERROR('Qredits maandlasten'!$H$4-K290,0),0)))))</f>
        <v/>
      </c>
      <c r="K290" s="423" t="str">
        <f>IF($B289="","",IF($B289+1&gt;'Qredits maandlasten'!$C$7,"",G290*I290*'Qredits maandlasten'!$C$8/12))</f>
        <v/>
      </c>
      <c r="L290" s="423" t="str">
        <f t="shared" si="22"/>
        <v/>
      </c>
      <c r="M290" s="423" t="str">
        <f t="shared" si="20"/>
        <v/>
      </c>
      <c r="N290" s="422"/>
      <c r="O290" s="424" t="str">
        <f>IF($B290="","",'Qredits maandlasten'!$C$8/12)</f>
        <v/>
      </c>
      <c r="P290" s="424" t="str">
        <f>IF($B290="","",'Qredits maandlasten'!$C$8/12*(POWER(1+'Qredits maandlasten'!$C$8/12,$B290-1+1)))</f>
        <v/>
      </c>
      <c r="Q290" s="424" t="str">
        <f t="shared" si="23"/>
        <v/>
      </c>
      <c r="R290" s="422"/>
      <c r="S290" s="423" t="str">
        <f t="shared" si="21"/>
        <v/>
      </c>
      <c r="T290" s="423" t="str">
        <f>IF(S290="","",J290/(POWER(1+'Qredits maandlasten'!$C$8/12,$B290-1+1)))</f>
        <v/>
      </c>
      <c r="U290" s="425" t="str">
        <f t="shared" si="24"/>
        <v/>
      </c>
      <c r="V290" s="423" t="str">
        <f>IF($B290="","",K290/(POWER(1+'Qredits maandlasten'!$C$8/12,$B290-1+1)))</f>
        <v/>
      </c>
      <c r="W290" s="422"/>
    </row>
    <row r="291" spans="1:23" s="427" customFormat="1" x14ac:dyDescent="0.2">
      <c r="A291" s="418"/>
      <c r="B291" s="419" t="str">
        <f>IF($B290="","",IF($B290+1&gt;'Qredits maandlasten'!$C$7,"",Schema!B290+1))</f>
        <v/>
      </c>
      <c r="C291" s="420" t="str">
        <f>IF($B290="","",IF($B290+1&gt;'Qredits maandlasten'!$C$7,"",EOMONTH(C290,0)+1))</f>
        <v/>
      </c>
      <c r="D291" s="418"/>
      <c r="E291" s="420" t="str">
        <f>IF($B290="","",IF($B290+1&gt;'Qredits maandlasten'!$C$7,"",F290+1))</f>
        <v/>
      </c>
      <c r="F291" s="420" t="str">
        <f>IF($B290="","",IF($B290+1&gt;'Qredits maandlasten'!$C$7,"",EOMONTH(C291,-1)))</f>
        <v/>
      </c>
      <c r="G291" s="421" t="str">
        <f>IF($B290="","",IF($B290+1&gt;'Qredits maandlasten'!$C$7,"",(_xlfn.DAYS(F291,E291)+1)/DAY(F291)))</f>
        <v/>
      </c>
      <c r="H291" s="422"/>
      <c r="I291" s="423" t="str">
        <f>IF($B290="","",IF($B290+1&gt;'Qredits maandlasten'!$C$7,"",I290-J290))</f>
        <v/>
      </c>
      <c r="J291" s="423" t="str">
        <f>IF($B290="","",IF($B290+1&gt;'Qredits maandlasten'!$C$7,"",IF(B290&lt;'Investering &amp; Financiering'!$E$52-1,0,IF('Qredits maandlasten'!$C$10="Lineair",'Qredits maandlasten'!$H$4,IF('Qredits maandlasten'!$C$10="Annuïteit",IFERROR('Qredits maandlasten'!$H$4-K291,0),0)))))</f>
        <v/>
      </c>
      <c r="K291" s="423" t="str">
        <f>IF($B290="","",IF($B290+1&gt;'Qredits maandlasten'!$C$7,"",G291*I291*'Qredits maandlasten'!$C$8/12))</f>
        <v/>
      </c>
      <c r="L291" s="423" t="str">
        <f t="shared" si="22"/>
        <v/>
      </c>
      <c r="M291" s="423" t="str">
        <f t="shared" si="20"/>
        <v/>
      </c>
      <c r="N291" s="422"/>
      <c r="O291" s="424" t="str">
        <f>IF($B291="","",'Qredits maandlasten'!$C$8/12)</f>
        <v/>
      </c>
      <c r="P291" s="424" t="str">
        <f>IF($B291="","",'Qredits maandlasten'!$C$8/12*(POWER(1+'Qredits maandlasten'!$C$8/12,$B291-1+1)))</f>
        <v/>
      </c>
      <c r="Q291" s="424" t="str">
        <f t="shared" si="23"/>
        <v/>
      </c>
      <c r="R291" s="422"/>
      <c r="S291" s="423" t="str">
        <f t="shared" si="21"/>
        <v/>
      </c>
      <c r="T291" s="423" t="str">
        <f>IF(S291="","",J291/(POWER(1+'Qredits maandlasten'!$C$8/12,$B291-1+1)))</f>
        <v/>
      </c>
      <c r="U291" s="425" t="str">
        <f t="shared" si="24"/>
        <v/>
      </c>
      <c r="V291" s="423" t="str">
        <f>IF($B291="","",K291/(POWER(1+'Qredits maandlasten'!$C$8/12,$B291-1+1)))</f>
        <v/>
      </c>
      <c r="W291" s="422"/>
    </row>
    <row r="292" spans="1:23" s="427" customFormat="1" x14ac:dyDescent="0.2">
      <c r="A292" s="418"/>
      <c r="B292" s="419" t="str">
        <f>IF($B291="","",IF($B291+1&gt;'Qredits maandlasten'!$C$7,"",Schema!B291+1))</f>
        <v/>
      </c>
      <c r="C292" s="420" t="str">
        <f>IF($B291="","",IF($B291+1&gt;'Qredits maandlasten'!$C$7,"",EOMONTH(C291,0)+1))</f>
        <v/>
      </c>
      <c r="D292" s="418"/>
      <c r="E292" s="420" t="str">
        <f>IF($B291="","",IF($B291+1&gt;'Qredits maandlasten'!$C$7,"",F291+1))</f>
        <v/>
      </c>
      <c r="F292" s="420" t="str">
        <f>IF($B291="","",IF($B291+1&gt;'Qredits maandlasten'!$C$7,"",EOMONTH(C292,-1)))</f>
        <v/>
      </c>
      <c r="G292" s="421" t="str">
        <f>IF($B291="","",IF($B291+1&gt;'Qredits maandlasten'!$C$7,"",(_xlfn.DAYS(F292,E292)+1)/DAY(F292)))</f>
        <v/>
      </c>
      <c r="H292" s="422"/>
      <c r="I292" s="423" t="str">
        <f>IF($B291="","",IF($B291+1&gt;'Qredits maandlasten'!$C$7,"",I291-J291))</f>
        <v/>
      </c>
      <c r="J292" s="423" t="str">
        <f>IF($B291="","",IF($B291+1&gt;'Qredits maandlasten'!$C$7,"",IF(B291&lt;'Investering &amp; Financiering'!$E$52-1,0,IF('Qredits maandlasten'!$C$10="Lineair",'Qredits maandlasten'!$H$4,IF('Qredits maandlasten'!$C$10="Annuïteit",IFERROR('Qredits maandlasten'!$H$4-K292,0),0)))))</f>
        <v/>
      </c>
      <c r="K292" s="423" t="str">
        <f>IF($B291="","",IF($B291+1&gt;'Qredits maandlasten'!$C$7,"",G292*I292*'Qredits maandlasten'!$C$8/12))</f>
        <v/>
      </c>
      <c r="L292" s="423" t="str">
        <f t="shared" si="22"/>
        <v/>
      </c>
      <c r="M292" s="423" t="str">
        <f t="shared" si="20"/>
        <v/>
      </c>
      <c r="N292" s="422"/>
      <c r="O292" s="424" t="str">
        <f>IF($B292="","",'Qredits maandlasten'!$C$8/12)</f>
        <v/>
      </c>
      <c r="P292" s="424" t="str">
        <f>IF($B292="","",'Qredits maandlasten'!$C$8/12*(POWER(1+'Qredits maandlasten'!$C$8/12,$B292-1+1)))</f>
        <v/>
      </c>
      <c r="Q292" s="424" t="str">
        <f t="shared" si="23"/>
        <v/>
      </c>
      <c r="R292" s="422"/>
      <c r="S292" s="423" t="str">
        <f t="shared" si="21"/>
        <v/>
      </c>
      <c r="T292" s="423" t="str">
        <f>IF(S292="","",J292/(POWER(1+'Qredits maandlasten'!$C$8/12,$B292-1+1)))</f>
        <v/>
      </c>
      <c r="U292" s="425" t="str">
        <f t="shared" si="24"/>
        <v/>
      </c>
      <c r="V292" s="423" t="str">
        <f>IF($B292="","",K292/(POWER(1+'Qredits maandlasten'!$C$8/12,$B292-1+1)))</f>
        <v/>
      </c>
      <c r="W292" s="422"/>
    </row>
    <row r="293" spans="1:23" s="427" customFormat="1" x14ac:dyDescent="0.2">
      <c r="A293" s="418"/>
      <c r="B293" s="419" t="str">
        <f>IF($B292="","",IF($B292+1&gt;'Qredits maandlasten'!$C$7,"",Schema!B292+1))</f>
        <v/>
      </c>
      <c r="C293" s="420" t="str">
        <f>IF($B292="","",IF($B292+1&gt;'Qredits maandlasten'!$C$7,"",EOMONTH(C292,0)+1))</f>
        <v/>
      </c>
      <c r="D293" s="418"/>
      <c r="E293" s="420" t="str">
        <f>IF($B292="","",IF($B292+1&gt;'Qredits maandlasten'!$C$7,"",F292+1))</f>
        <v/>
      </c>
      <c r="F293" s="420" t="str">
        <f>IF($B292="","",IF($B292+1&gt;'Qredits maandlasten'!$C$7,"",EOMONTH(C293,-1)))</f>
        <v/>
      </c>
      <c r="G293" s="421" t="str">
        <f>IF($B292="","",IF($B292+1&gt;'Qredits maandlasten'!$C$7,"",(_xlfn.DAYS(F293,E293)+1)/DAY(F293)))</f>
        <v/>
      </c>
      <c r="H293" s="422"/>
      <c r="I293" s="423" t="str">
        <f>IF($B292="","",IF($B292+1&gt;'Qredits maandlasten'!$C$7,"",I292-J292))</f>
        <v/>
      </c>
      <c r="J293" s="423" t="str">
        <f>IF($B292="","",IF($B292+1&gt;'Qredits maandlasten'!$C$7,"",IF(B292&lt;'Investering &amp; Financiering'!$E$52-1,0,IF('Qredits maandlasten'!$C$10="Lineair",'Qredits maandlasten'!$H$4,IF('Qredits maandlasten'!$C$10="Annuïteit",IFERROR('Qredits maandlasten'!$H$4-K293,0),0)))))</f>
        <v/>
      </c>
      <c r="K293" s="423" t="str">
        <f>IF($B292="","",IF($B292+1&gt;'Qredits maandlasten'!$C$7,"",G293*I293*'Qredits maandlasten'!$C$8/12))</f>
        <v/>
      </c>
      <c r="L293" s="423" t="str">
        <f t="shared" si="22"/>
        <v/>
      </c>
      <c r="M293" s="423" t="str">
        <f t="shared" si="20"/>
        <v/>
      </c>
      <c r="N293" s="422"/>
      <c r="O293" s="424" t="str">
        <f>IF($B293="","",'Qredits maandlasten'!$C$8/12)</f>
        <v/>
      </c>
      <c r="P293" s="424" t="str">
        <f>IF($B293="","",'Qredits maandlasten'!$C$8/12*(POWER(1+'Qredits maandlasten'!$C$8/12,$B293-1+1)))</f>
        <v/>
      </c>
      <c r="Q293" s="424" t="str">
        <f t="shared" si="23"/>
        <v/>
      </c>
      <c r="R293" s="422"/>
      <c r="S293" s="423" t="str">
        <f t="shared" si="21"/>
        <v/>
      </c>
      <c r="T293" s="423" t="str">
        <f>IF(S293="","",J293/(POWER(1+'Qredits maandlasten'!$C$8/12,$B293-1+1)))</f>
        <v/>
      </c>
      <c r="U293" s="425" t="str">
        <f t="shared" si="24"/>
        <v/>
      </c>
      <c r="V293" s="423" t="str">
        <f>IF($B293="","",K293/(POWER(1+'Qredits maandlasten'!$C$8/12,$B293-1+1)))</f>
        <v/>
      </c>
      <c r="W293" s="422"/>
    </row>
    <row r="294" spans="1:23" s="427" customFormat="1" x14ac:dyDescent="0.2">
      <c r="A294" s="418"/>
      <c r="B294" s="419" t="str">
        <f>IF($B293="","",IF($B293+1&gt;'Qredits maandlasten'!$C$7,"",Schema!B293+1))</f>
        <v/>
      </c>
      <c r="C294" s="420" t="str">
        <f>IF($B293="","",IF($B293+1&gt;'Qredits maandlasten'!$C$7,"",EOMONTH(C293,0)+1))</f>
        <v/>
      </c>
      <c r="D294" s="418"/>
      <c r="E294" s="420" t="str">
        <f>IF($B293="","",IF($B293+1&gt;'Qredits maandlasten'!$C$7,"",F293+1))</f>
        <v/>
      </c>
      <c r="F294" s="420" t="str">
        <f>IF($B293="","",IF($B293+1&gt;'Qredits maandlasten'!$C$7,"",EOMONTH(C294,-1)))</f>
        <v/>
      </c>
      <c r="G294" s="421" t="str">
        <f>IF($B293="","",IF($B293+1&gt;'Qredits maandlasten'!$C$7,"",(_xlfn.DAYS(F294,E294)+1)/DAY(F294)))</f>
        <v/>
      </c>
      <c r="H294" s="422"/>
      <c r="I294" s="423" t="str">
        <f>IF($B293="","",IF($B293+1&gt;'Qredits maandlasten'!$C$7,"",I293-J293))</f>
        <v/>
      </c>
      <c r="J294" s="423" t="str">
        <f>IF($B293="","",IF($B293+1&gt;'Qredits maandlasten'!$C$7,"",IF(B293&lt;'Investering &amp; Financiering'!$E$52-1,0,IF('Qredits maandlasten'!$C$10="Lineair",'Qredits maandlasten'!$H$4,IF('Qredits maandlasten'!$C$10="Annuïteit",IFERROR('Qredits maandlasten'!$H$4-K294,0),0)))))</f>
        <v/>
      </c>
      <c r="K294" s="423" t="str">
        <f>IF($B293="","",IF($B293+1&gt;'Qredits maandlasten'!$C$7,"",G294*I294*'Qredits maandlasten'!$C$8/12))</f>
        <v/>
      </c>
      <c r="L294" s="423" t="str">
        <f t="shared" si="22"/>
        <v/>
      </c>
      <c r="M294" s="423" t="str">
        <f t="shared" si="20"/>
        <v/>
      </c>
      <c r="N294" s="422"/>
      <c r="O294" s="424" t="str">
        <f>IF($B294="","",'Qredits maandlasten'!$C$8/12)</f>
        <v/>
      </c>
      <c r="P294" s="424" t="str">
        <f>IF($B294="","",'Qredits maandlasten'!$C$8/12*(POWER(1+'Qredits maandlasten'!$C$8/12,$B294-1+1)))</f>
        <v/>
      </c>
      <c r="Q294" s="424" t="str">
        <f t="shared" si="23"/>
        <v/>
      </c>
      <c r="R294" s="422"/>
      <c r="S294" s="423" t="str">
        <f t="shared" si="21"/>
        <v/>
      </c>
      <c r="T294" s="423" t="str">
        <f>IF(S294="","",J294/(POWER(1+'Qredits maandlasten'!$C$8/12,$B294-1+1)))</f>
        <v/>
      </c>
      <c r="U294" s="425" t="str">
        <f t="shared" si="24"/>
        <v/>
      </c>
      <c r="V294" s="423" t="str">
        <f>IF($B294="","",K294/(POWER(1+'Qredits maandlasten'!$C$8/12,$B294-1+1)))</f>
        <v/>
      </c>
      <c r="W294" s="422"/>
    </row>
    <row r="295" spans="1:23" s="427" customFormat="1" x14ac:dyDescent="0.2">
      <c r="A295" s="418"/>
      <c r="B295" s="419" t="str">
        <f>IF($B294="","",IF($B294+1&gt;'Qredits maandlasten'!$C$7,"",Schema!B294+1))</f>
        <v/>
      </c>
      <c r="C295" s="420" t="str">
        <f>IF($B294="","",IF($B294+1&gt;'Qredits maandlasten'!$C$7,"",EOMONTH(C294,0)+1))</f>
        <v/>
      </c>
      <c r="D295" s="418"/>
      <c r="E295" s="420" t="str">
        <f>IF($B294="","",IF($B294+1&gt;'Qredits maandlasten'!$C$7,"",F294+1))</f>
        <v/>
      </c>
      <c r="F295" s="420" t="str">
        <f>IF($B294="","",IF($B294+1&gt;'Qredits maandlasten'!$C$7,"",EOMONTH(C295,-1)))</f>
        <v/>
      </c>
      <c r="G295" s="421" t="str">
        <f>IF($B294="","",IF($B294+1&gt;'Qredits maandlasten'!$C$7,"",(_xlfn.DAYS(F295,E295)+1)/DAY(F295)))</f>
        <v/>
      </c>
      <c r="H295" s="422"/>
      <c r="I295" s="423" t="str">
        <f>IF($B294="","",IF($B294+1&gt;'Qredits maandlasten'!$C$7,"",I294-J294))</f>
        <v/>
      </c>
      <c r="J295" s="423" t="str">
        <f>IF($B294="","",IF($B294+1&gt;'Qredits maandlasten'!$C$7,"",IF(B294&lt;'Investering &amp; Financiering'!$E$52-1,0,IF('Qredits maandlasten'!$C$10="Lineair",'Qredits maandlasten'!$H$4,IF('Qredits maandlasten'!$C$10="Annuïteit",IFERROR('Qredits maandlasten'!$H$4-K295,0),0)))))</f>
        <v/>
      </c>
      <c r="K295" s="423" t="str">
        <f>IF($B294="","",IF($B294+1&gt;'Qredits maandlasten'!$C$7,"",G295*I295*'Qredits maandlasten'!$C$8/12))</f>
        <v/>
      </c>
      <c r="L295" s="423" t="str">
        <f t="shared" si="22"/>
        <v/>
      </c>
      <c r="M295" s="423" t="str">
        <f t="shared" si="20"/>
        <v/>
      </c>
      <c r="N295" s="422"/>
      <c r="O295" s="424" t="str">
        <f>IF($B295="","",'Qredits maandlasten'!$C$8/12)</f>
        <v/>
      </c>
      <c r="P295" s="424" t="str">
        <f>IF($B295="","",'Qredits maandlasten'!$C$8/12*(POWER(1+'Qredits maandlasten'!$C$8/12,$B295-1+1)))</f>
        <v/>
      </c>
      <c r="Q295" s="424" t="str">
        <f t="shared" si="23"/>
        <v/>
      </c>
      <c r="R295" s="422"/>
      <c r="S295" s="423" t="str">
        <f t="shared" si="21"/>
        <v/>
      </c>
      <c r="T295" s="423" t="str">
        <f>IF(S295="","",J295/(POWER(1+'Qredits maandlasten'!$C$8/12,$B295-1+1)))</f>
        <v/>
      </c>
      <c r="U295" s="425" t="str">
        <f t="shared" si="24"/>
        <v/>
      </c>
      <c r="V295" s="423" t="str">
        <f>IF($B295="","",K295/(POWER(1+'Qredits maandlasten'!$C$8/12,$B295-1+1)))</f>
        <v/>
      </c>
      <c r="W295" s="422"/>
    </row>
    <row r="296" spans="1:23" s="427" customFormat="1" x14ac:dyDescent="0.2">
      <c r="A296" s="418"/>
      <c r="B296" s="419" t="str">
        <f>IF($B295="","",IF($B295+1&gt;'Qredits maandlasten'!$C$7,"",Schema!B295+1))</f>
        <v/>
      </c>
      <c r="C296" s="420" t="str">
        <f>IF($B295="","",IF($B295+1&gt;'Qredits maandlasten'!$C$7,"",EOMONTH(C295,0)+1))</f>
        <v/>
      </c>
      <c r="D296" s="418"/>
      <c r="E296" s="420" t="str">
        <f>IF($B295="","",IF($B295+1&gt;'Qredits maandlasten'!$C$7,"",F295+1))</f>
        <v/>
      </c>
      <c r="F296" s="420" t="str">
        <f>IF($B295="","",IF($B295+1&gt;'Qredits maandlasten'!$C$7,"",EOMONTH(C296,-1)))</f>
        <v/>
      </c>
      <c r="G296" s="421" t="str">
        <f>IF($B295="","",IF($B295+1&gt;'Qredits maandlasten'!$C$7,"",(_xlfn.DAYS(F296,E296)+1)/DAY(F296)))</f>
        <v/>
      </c>
      <c r="H296" s="422"/>
      <c r="I296" s="423" t="str">
        <f>IF($B295="","",IF($B295+1&gt;'Qredits maandlasten'!$C$7,"",I295-J295))</f>
        <v/>
      </c>
      <c r="J296" s="423" t="str">
        <f>IF($B295="","",IF($B295+1&gt;'Qredits maandlasten'!$C$7,"",IF(B295&lt;'Investering &amp; Financiering'!$E$52-1,0,IF('Qredits maandlasten'!$C$10="Lineair",'Qredits maandlasten'!$H$4,IF('Qredits maandlasten'!$C$10="Annuïteit",IFERROR('Qredits maandlasten'!$H$4-K296,0),0)))))</f>
        <v/>
      </c>
      <c r="K296" s="423" t="str">
        <f>IF($B295="","",IF($B295+1&gt;'Qredits maandlasten'!$C$7,"",G296*I296*'Qredits maandlasten'!$C$8/12))</f>
        <v/>
      </c>
      <c r="L296" s="423" t="str">
        <f t="shared" si="22"/>
        <v/>
      </c>
      <c r="M296" s="423" t="str">
        <f t="shared" si="20"/>
        <v/>
      </c>
      <c r="N296" s="422"/>
      <c r="O296" s="424" t="str">
        <f>IF($B296="","",'Qredits maandlasten'!$C$8/12)</f>
        <v/>
      </c>
      <c r="P296" s="424" t="str">
        <f>IF($B296="","",'Qredits maandlasten'!$C$8/12*(POWER(1+'Qredits maandlasten'!$C$8/12,$B296-1+1)))</f>
        <v/>
      </c>
      <c r="Q296" s="424" t="str">
        <f t="shared" si="23"/>
        <v/>
      </c>
      <c r="R296" s="422"/>
      <c r="S296" s="423" t="str">
        <f t="shared" si="21"/>
        <v/>
      </c>
      <c r="T296" s="423" t="str">
        <f>IF(S296="","",J296/(POWER(1+'Qredits maandlasten'!$C$8/12,$B296-1+1)))</f>
        <v/>
      </c>
      <c r="U296" s="425" t="str">
        <f t="shared" si="24"/>
        <v/>
      </c>
      <c r="V296" s="423" t="str">
        <f>IF($B296="","",K296/(POWER(1+'Qredits maandlasten'!$C$8/12,$B296-1+1)))</f>
        <v/>
      </c>
      <c r="W296" s="422"/>
    </row>
    <row r="297" spans="1:23" s="427" customFormat="1" x14ac:dyDescent="0.2">
      <c r="A297" s="418"/>
      <c r="B297" s="419" t="str">
        <f>IF($B296="","",IF($B296+1&gt;'Qredits maandlasten'!$C$7,"",Schema!B296+1))</f>
        <v/>
      </c>
      <c r="C297" s="420" t="str">
        <f>IF($B296="","",IF($B296+1&gt;'Qredits maandlasten'!$C$7,"",EOMONTH(C296,0)+1))</f>
        <v/>
      </c>
      <c r="D297" s="418"/>
      <c r="E297" s="420" t="str">
        <f>IF($B296="","",IF($B296+1&gt;'Qredits maandlasten'!$C$7,"",F296+1))</f>
        <v/>
      </c>
      <c r="F297" s="420" t="str">
        <f>IF($B296="","",IF($B296+1&gt;'Qredits maandlasten'!$C$7,"",EOMONTH(C297,-1)))</f>
        <v/>
      </c>
      <c r="G297" s="421" t="str">
        <f>IF($B296="","",IF($B296+1&gt;'Qredits maandlasten'!$C$7,"",(_xlfn.DAYS(F297,E297)+1)/DAY(F297)))</f>
        <v/>
      </c>
      <c r="H297" s="422"/>
      <c r="I297" s="423" t="str">
        <f>IF($B296="","",IF($B296+1&gt;'Qredits maandlasten'!$C$7,"",I296-J296))</f>
        <v/>
      </c>
      <c r="J297" s="423" t="str">
        <f>IF($B296="","",IF($B296+1&gt;'Qredits maandlasten'!$C$7,"",IF(B296&lt;'Investering &amp; Financiering'!$E$52-1,0,IF('Qredits maandlasten'!$C$10="Lineair",'Qredits maandlasten'!$H$4,IF('Qredits maandlasten'!$C$10="Annuïteit",IFERROR('Qredits maandlasten'!$H$4-K297,0),0)))))</f>
        <v/>
      </c>
      <c r="K297" s="423" t="str">
        <f>IF($B296="","",IF($B296+1&gt;'Qredits maandlasten'!$C$7,"",G297*I297*'Qredits maandlasten'!$C$8/12))</f>
        <v/>
      </c>
      <c r="L297" s="423" t="str">
        <f t="shared" si="22"/>
        <v/>
      </c>
      <c r="M297" s="423" t="str">
        <f t="shared" si="20"/>
        <v/>
      </c>
      <c r="N297" s="422"/>
      <c r="O297" s="424" t="str">
        <f>IF($B297="","",'Qredits maandlasten'!$C$8/12)</f>
        <v/>
      </c>
      <c r="P297" s="424" t="str">
        <f>IF($B297="","",'Qredits maandlasten'!$C$8/12*(POWER(1+'Qredits maandlasten'!$C$8/12,$B297-1+1)))</f>
        <v/>
      </c>
      <c r="Q297" s="424" t="str">
        <f t="shared" si="23"/>
        <v/>
      </c>
      <c r="R297" s="422"/>
      <c r="S297" s="423" t="str">
        <f t="shared" si="21"/>
        <v/>
      </c>
      <c r="T297" s="423" t="str">
        <f>IF(S297="","",J297/(POWER(1+'Qredits maandlasten'!$C$8/12,$B297-1+1)))</f>
        <v/>
      </c>
      <c r="U297" s="425" t="str">
        <f t="shared" si="24"/>
        <v/>
      </c>
      <c r="V297" s="423" t="str">
        <f>IF($B297="","",K297/(POWER(1+'Qredits maandlasten'!$C$8/12,$B297-1+1)))</f>
        <v/>
      </c>
      <c r="W297" s="422"/>
    </row>
    <row r="298" spans="1:23" s="427" customFormat="1" x14ac:dyDescent="0.2">
      <c r="A298" s="418"/>
      <c r="B298" s="419" t="str">
        <f>IF($B297="","",IF($B297+1&gt;'Qredits maandlasten'!$C$7,"",Schema!B297+1))</f>
        <v/>
      </c>
      <c r="C298" s="420" t="str">
        <f>IF($B297="","",IF($B297+1&gt;'Qredits maandlasten'!$C$7,"",EOMONTH(C297,0)+1))</f>
        <v/>
      </c>
      <c r="D298" s="418"/>
      <c r="E298" s="420" t="str">
        <f>IF($B297="","",IF($B297+1&gt;'Qredits maandlasten'!$C$7,"",F297+1))</f>
        <v/>
      </c>
      <c r="F298" s="420" t="str">
        <f>IF($B297="","",IF($B297+1&gt;'Qredits maandlasten'!$C$7,"",EOMONTH(C298,-1)))</f>
        <v/>
      </c>
      <c r="G298" s="421" t="str">
        <f>IF($B297="","",IF($B297+1&gt;'Qredits maandlasten'!$C$7,"",(_xlfn.DAYS(F298,E298)+1)/DAY(F298)))</f>
        <v/>
      </c>
      <c r="H298" s="422"/>
      <c r="I298" s="423" t="str">
        <f>IF($B297="","",IF($B297+1&gt;'Qredits maandlasten'!$C$7,"",I297-J297))</f>
        <v/>
      </c>
      <c r="J298" s="423" t="str">
        <f>IF($B297="","",IF($B297+1&gt;'Qredits maandlasten'!$C$7,"",IF(B297&lt;'Investering &amp; Financiering'!$E$52-1,0,IF('Qredits maandlasten'!$C$10="Lineair",'Qredits maandlasten'!$H$4,IF('Qredits maandlasten'!$C$10="Annuïteit",IFERROR('Qredits maandlasten'!$H$4-K298,0),0)))))</f>
        <v/>
      </c>
      <c r="K298" s="423" t="str">
        <f>IF($B297="","",IF($B297+1&gt;'Qredits maandlasten'!$C$7,"",G298*I298*'Qredits maandlasten'!$C$8/12))</f>
        <v/>
      </c>
      <c r="L298" s="423" t="str">
        <f t="shared" si="22"/>
        <v/>
      </c>
      <c r="M298" s="423" t="str">
        <f t="shared" si="20"/>
        <v/>
      </c>
      <c r="N298" s="422"/>
      <c r="O298" s="424" t="str">
        <f>IF($B298="","",'Qredits maandlasten'!$C$8/12)</f>
        <v/>
      </c>
      <c r="P298" s="424" t="str">
        <f>IF($B298="","",'Qredits maandlasten'!$C$8/12*(POWER(1+'Qredits maandlasten'!$C$8/12,$B298-1+1)))</f>
        <v/>
      </c>
      <c r="Q298" s="424" t="str">
        <f t="shared" si="23"/>
        <v/>
      </c>
      <c r="R298" s="422"/>
      <c r="S298" s="423" t="str">
        <f t="shared" si="21"/>
        <v/>
      </c>
      <c r="T298" s="423" t="str">
        <f>IF(S298="","",J298/(POWER(1+'Qredits maandlasten'!$C$8/12,$B298-1+1)))</f>
        <v/>
      </c>
      <c r="U298" s="425" t="str">
        <f t="shared" si="24"/>
        <v/>
      </c>
      <c r="V298" s="423" t="str">
        <f>IF($B298="","",K298/(POWER(1+'Qredits maandlasten'!$C$8/12,$B298-1+1)))</f>
        <v/>
      </c>
      <c r="W298" s="422"/>
    </row>
    <row r="299" spans="1:23" s="427" customFormat="1" x14ac:dyDescent="0.2">
      <c r="A299" s="418"/>
      <c r="B299" s="419" t="str">
        <f>IF($B298="","",IF($B298+1&gt;'Qredits maandlasten'!$C$7,"",Schema!B298+1))</f>
        <v/>
      </c>
      <c r="C299" s="420" t="str">
        <f>IF($B298="","",IF($B298+1&gt;'Qredits maandlasten'!$C$7,"",EOMONTH(C298,0)+1))</f>
        <v/>
      </c>
      <c r="D299" s="418"/>
      <c r="E299" s="420" t="str">
        <f>IF($B298="","",IF($B298+1&gt;'Qredits maandlasten'!$C$7,"",F298+1))</f>
        <v/>
      </c>
      <c r="F299" s="420" t="str">
        <f>IF($B298="","",IF($B298+1&gt;'Qredits maandlasten'!$C$7,"",EOMONTH(C299,-1)))</f>
        <v/>
      </c>
      <c r="G299" s="421" t="str">
        <f>IF($B298="","",IF($B298+1&gt;'Qredits maandlasten'!$C$7,"",(_xlfn.DAYS(F299,E299)+1)/DAY(F299)))</f>
        <v/>
      </c>
      <c r="H299" s="422"/>
      <c r="I299" s="423" t="str">
        <f>IF($B298="","",IF($B298+1&gt;'Qredits maandlasten'!$C$7,"",I298-J298))</f>
        <v/>
      </c>
      <c r="J299" s="423" t="str">
        <f>IF($B298="","",IF($B298+1&gt;'Qredits maandlasten'!$C$7,"",IF(B298&lt;'Investering &amp; Financiering'!$E$52-1,0,IF('Qredits maandlasten'!$C$10="Lineair",'Qredits maandlasten'!$H$4,IF('Qredits maandlasten'!$C$10="Annuïteit",IFERROR('Qredits maandlasten'!$H$4-K299,0),0)))))</f>
        <v/>
      </c>
      <c r="K299" s="423" t="str">
        <f>IF($B298="","",IF($B298+1&gt;'Qredits maandlasten'!$C$7,"",G299*I299*'Qredits maandlasten'!$C$8/12))</f>
        <v/>
      </c>
      <c r="L299" s="423" t="str">
        <f t="shared" si="22"/>
        <v/>
      </c>
      <c r="M299" s="423" t="str">
        <f t="shared" si="20"/>
        <v/>
      </c>
      <c r="N299" s="422"/>
      <c r="O299" s="424" t="str">
        <f>IF($B299="","",'Qredits maandlasten'!$C$8/12)</f>
        <v/>
      </c>
      <c r="P299" s="424" t="str">
        <f>IF($B299="","",'Qredits maandlasten'!$C$8/12*(POWER(1+'Qredits maandlasten'!$C$8/12,$B299-1+1)))</f>
        <v/>
      </c>
      <c r="Q299" s="424" t="str">
        <f t="shared" si="23"/>
        <v/>
      </c>
      <c r="R299" s="422"/>
      <c r="S299" s="423" t="str">
        <f t="shared" si="21"/>
        <v/>
      </c>
      <c r="T299" s="423" t="str">
        <f>IF(S299="","",J299/(POWER(1+'Qredits maandlasten'!$C$8/12,$B299-1+1)))</f>
        <v/>
      </c>
      <c r="U299" s="425" t="str">
        <f t="shared" si="24"/>
        <v/>
      </c>
      <c r="V299" s="423" t="str">
        <f>IF($B299="","",K299/(POWER(1+'Qredits maandlasten'!$C$8/12,$B299-1+1)))</f>
        <v/>
      </c>
      <c r="W299" s="422"/>
    </row>
    <row r="300" spans="1:23" s="427" customFormat="1" x14ac:dyDescent="0.2">
      <c r="A300" s="418"/>
      <c r="B300" s="419" t="str">
        <f>IF($B299="","",IF($B299+1&gt;'Qredits maandlasten'!$C$7,"",Schema!B299+1))</f>
        <v/>
      </c>
      <c r="C300" s="420" t="str">
        <f>IF($B299="","",IF($B299+1&gt;'Qredits maandlasten'!$C$7,"",EOMONTH(C299,0)+1))</f>
        <v/>
      </c>
      <c r="D300" s="418"/>
      <c r="E300" s="420" t="str">
        <f>IF($B299="","",IF($B299+1&gt;'Qredits maandlasten'!$C$7,"",F299+1))</f>
        <v/>
      </c>
      <c r="F300" s="420" t="str">
        <f>IF($B299="","",IF($B299+1&gt;'Qredits maandlasten'!$C$7,"",EOMONTH(C300,-1)))</f>
        <v/>
      </c>
      <c r="G300" s="421" t="str">
        <f>IF($B299="","",IF($B299+1&gt;'Qredits maandlasten'!$C$7,"",(_xlfn.DAYS(F300,E300)+1)/DAY(F300)))</f>
        <v/>
      </c>
      <c r="H300" s="422"/>
      <c r="I300" s="423" t="str">
        <f>IF($B299="","",IF($B299+1&gt;'Qredits maandlasten'!$C$7,"",I299-J299))</f>
        <v/>
      </c>
      <c r="J300" s="423" t="str">
        <f>IF($B299="","",IF($B299+1&gt;'Qredits maandlasten'!$C$7,"",IF(B299&lt;'Investering &amp; Financiering'!$E$52-1,0,IF('Qredits maandlasten'!$C$10="Lineair",'Qredits maandlasten'!$H$4,IF('Qredits maandlasten'!$C$10="Annuïteit",IFERROR('Qredits maandlasten'!$H$4-K300,0),0)))))</f>
        <v/>
      </c>
      <c r="K300" s="423" t="str">
        <f>IF($B299="","",IF($B299+1&gt;'Qredits maandlasten'!$C$7,"",G300*I300*'Qredits maandlasten'!$C$8/12))</f>
        <v/>
      </c>
      <c r="L300" s="423" t="str">
        <f t="shared" si="22"/>
        <v/>
      </c>
      <c r="M300" s="423" t="str">
        <f t="shared" si="20"/>
        <v/>
      </c>
      <c r="N300" s="422"/>
      <c r="O300" s="424" t="str">
        <f>IF($B300="","",'Qredits maandlasten'!$C$8/12)</f>
        <v/>
      </c>
      <c r="P300" s="424" t="str">
        <f>IF($B300="","",'Qredits maandlasten'!$C$8/12*(POWER(1+'Qredits maandlasten'!$C$8/12,$B300-1+1)))</f>
        <v/>
      </c>
      <c r="Q300" s="424" t="str">
        <f t="shared" si="23"/>
        <v/>
      </c>
      <c r="R300" s="422"/>
      <c r="S300" s="423" t="str">
        <f t="shared" si="21"/>
        <v/>
      </c>
      <c r="T300" s="423" t="str">
        <f>IF(S300="","",J300/(POWER(1+'Qredits maandlasten'!$C$8/12,$B300-1+1)))</f>
        <v/>
      </c>
      <c r="U300" s="425" t="str">
        <f t="shared" si="24"/>
        <v/>
      </c>
      <c r="V300" s="423" t="str">
        <f>IF($B300="","",K300/(POWER(1+'Qredits maandlasten'!$C$8/12,$B300-1+1)))</f>
        <v/>
      </c>
      <c r="W300" s="422"/>
    </row>
    <row r="301" spans="1:23" s="427" customFormat="1" x14ac:dyDescent="0.2">
      <c r="A301" s="418"/>
      <c r="B301" s="419" t="str">
        <f>IF($B300="","",IF($B300+1&gt;'Qredits maandlasten'!$C$7,"",Schema!B300+1))</f>
        <v/>
      </c>
      <c r="C301" s="420" t="str">
        <f>IF($B300="","",IF($B300+1&gt;'Qredits maandlasten'!$C$7,"",EOMONTH(C300,0)+1))</f>
        <v/>
      </c>
      <c r="D301" s="418"/>
      <c r="E301" s="420" t="str">
        <f>IF($B300="","",IF($B300+1&gt;'Qredits maandlasten'!$C$7,"",F300+1))</f>
        <v/>
      </c>
      <c r="F301" s="420" t="str">
        <f>IF($B300="","",IF($B300+1&gt;'Qredits maandlasten'!$C$7,"",EOMONTH(C301,-1)))</f>
        <v/>
      </c>
      <c r="G301" s="421" t="str">
        <f>IF($B300="","",IF($B300+1&gt;'Qredits maandlasten'!$C$7,"",(_xlfn.DAYS(F301,E301)+1)/DAY(F301)))</f>
        <v/>
      </c>
      <c r="H301" s="422"/>
      <c r="I301" s="423" t="str">
        <f>IF($B300="","",IF($B300+1&gt;'Qredits maandlasten'!$C$7,"",I300-J300))</f>
        <v/>
      </c>
      <c r="J301" s="423" t="str">
        <f>IF($B300="","",IF($B300+1&gt;'Qredits maandlasten'!$C$7,"",IF(B300&lt;'Investering &amp; Financiering'!$E$52-1,0,IF('Qredits maandlasten'!$C$10="Lineair",'Qredits maandlasten'!$H$4,IF('Qredits maandlasten'!$C$10="Annuïteit",IFERROR('Qredits maandlasten'!$H$4-K301,0),0)))))</f>
        <v/>
      </c>
      <c r="K301" s="423" t="str">
        <f>IF($B300="","",IF($B300+1&gt;'Qredits maandlasten'!$C$7,"",G301*I301*'Qredits maandlasten'!$C$8/12))</f>
        <v/>
      </c>
      <c r="L301" s="423" t="str">
        <f t="shared" si="22"/>
        <v/>
      </c>
      <c r="M301" s="423" t="str">
        <f t="shared" si="20"/>
        <v/>
      </c>
      <c r="N301" s="422"/>
      <c r="O301" s="424" t="str">
        <f>IF($B301="","",'Qredits maandlasten'!$C$8/12)</f>
        <v/>
      </c>
      <c r="P301" s="424" t="str">
        <f>IF($B301="","",'Qredits maandlasten'!$C$8/12*(POWER(1+'Qredits maandlasten'!$C$8/12,$B301-1+1)))</f>
        <v/>
      </c>
      <c r="Q301" s="424" t="str">
        <f t="shared" si="23"/>
        <v/>
      </c>
      <c r="R301" s="422"/>
      <c r="S301" s="423" t="str">
        <f t="shared" si="21"/>
        <v/>
      </c>
      <c r="T301" s="423" t="str">
        <f>IF(S301="","",J301/(POWER(1+'Qredits maandlasten'!$C$8/12,$B301-1+1)))</f>
        <v/>
      </c>
      <c r="U301" s="425" t="str">
        <f t="shared" si="24"/>
        <v/>
      </c>
      <c r="V301" s="423" t="str">
        <f>IF($B301="","",K301/(POWER(1+'Qredits maandlasten'!$C$8/12,$B301-1+1)))</f>
        <v/>
      </c>
      <c r="W301" s="422"/>
    </row>
    <row r="302" spans="1:23" s="427" customFormat="1" x14ac:dyDescent="0.2">
      <c r="A302" s="418"/>
      <c r="B302" s="419" t="str">
        <f>IF($B301="","",IF($B301+1&gt;'Qredits maandlasten'!$C$7,"",Schema!B301+1))</f>
        <v/>
      </c>
      <c r="C302" s="420" t="str">
        <f>IF($B301="","",IF($B301+1&gt;'Qredits maandlasten'!$C$7,"",EOMONTH(C301,0)+1))</f>
        <v/>
      </c>
      <c r="D302" s="418"/>
      <c r="E302" s="420" t="str">
        <f>IF($B301="","",IF($B301+1&gt;'Qredits maandlasten'!$C$7,"",F301+1))</f>
        <v/>
      </c>
      <c r="F302" s="420" t="str">
        <f>IF($B301="","",IF($B301+1&gt;'Qredits maandlasten'!$C$7,"",EOMONTH(C302,-1)))</f>
        <v/>
      </c>
      <c r="G302" s="421" t="str">
        <f>IF($B301="","",IF($B301+1&gt;'Qredits maandlasten'!$C$7,"",(_xlfn.DAYS(F302,E302)+1)/DAY(F302)))</f>
        <v/>
      </c>
      <c r="H302" s="422"/>
      <c r="I302" s="423" t="str">
        <f>IF($B301="","",IF($B301+1&gt;'Qredits maandlasten'!$C$7,"",I301-J301))</f>
        <v/>
      </c>
      <c r="J302" s="423" t="str">
        <f>IF($B301="","",IF($B301+1&gt;'Qredits maandlasten'!$C$7,"",IF(B301&lt;'Investering &amp; Financiering'!$E$52-1,0,IF('Qredits maandlasten'!$C$10="Lineair",'Qredits maandlasten'!$H$4,IF('Qredits maandlasten'!$C$10="Annuïteit",IFERROR('Qredits maandlasten'!$H$4-K302,0),0)))))</f>
        <v/>
      </c>
      <c r="K302" s="423" t="str">
        <f>IF($B301="","",IF($B301+1&gt;'Qredits maandlasten'!$C$7,"",G302*I302*'Qredits maandlasten'!$C$8/12))</f>
        <v/>
      </c>
      <c r="L302" s="423" t="str">
        <f t="shared" si="22"/>
        <v/>
      </c>
      <c r="M302" s="423" t="str">
        <f t="shared" si="20"/>
        <v/>
      </c>
      <c r="N302" s="422"/>
      <c r="O302" s="424" t="str">
        <f>IF($B302="","",'Qredits maandlasten'!$C$8/12)</f>
        <v/>
      </c>
      <c r="P302" s="424" t="str">
        <f>IF($B302="","",'Qredits maandlasten'!$C$8/12*(POWER(1+'Qredits maandlasten'!$C$8/12,$B302-1+1)))</f>
        <v/>
      </c>
      <c r="Q302" s="424" t="str">
        <f t="shared" si="23"/>
        <v/>
      </c>
      <c r="R302" s="422"/>
      <c r="S302" s="423" t="str">
        <f t="shared" si="21"/>
        <v/>
      </c>
      <c r="T302" s="423" t="str">
        <f>IF(S302="","",J302/(POWER(1+'Qredits maandlasten'!$C$8/12,$B302-1+1)))</f>
        <v/>
      </c>
      <c r="U302" s="425" t="str">
        <f t="shared" si="24"/>
        <v/>
      </c>
      <c r="V302" s="423" t="str">
        <f>IF($B302="","",K302/(POWER(1+'Qredits maandlasten'!$C$8/12,$B302-1+1)))</f>
        <v/>
      </c>
      <c r="W302" s="422"/>
    </row>
    <row r="303" spans="1:23" s="427" customFormat="1" x14ac:dyDescent="0.2">
      <c r="A303" s="418"/>
      <c r="B303" s="419" t="str">
        <f>IF($B302="","",IF($B302+1&gt;'Qredits maandlasten'!$C$7,"",Schema!B302+1))</f>
        <v/>
      </c>
      <c r="C303" s="420" t="str">
        <f>IF($B302="","",IF($B302+1&gt;'Qredits maandlasten'!$C$7,"",EOMONTH(C302,0)+1))</f>
        <v/>
      </c>
      <c r="D303" s="418"/>
      <c r="E303" s="420" t="str">
        <f>IF($B302="","",IF($B302+1&gt;'Qredits maandlasten'!$C$7,"",F302+1))</f>
        <v/>
      </c>
      <c r="F303" s="420" t="str">
        <f>IF($B302="","",IF($B302+1&gt;'Qredits maandlasten'!$C$7,"",EOMONTH(C303,-1)))</f>
        <v/>
      </c>
      <c r="G303" s="421" t="str">
        <f>IF($B302="","",IF($B302+1&gt;'Qredits maandlasten'!$C$7,"",(_xlfn.DAYS(F303,E303)+1)/DAY(F303)))</f>
        <v/>
      </c>
      <c r="H303" s="422"/>
      <c r="I303" s="423" t="str">
        <f>IF($B302="","",IF($B302+1&gt;'Qredits maandlasten'!$C$7,"",I302-J302))</f>
        <v/>
      </c>
      <c r="J303" s="423" t="str">
        <f>IF($B302="","",IF($B302+1&gt;'Qredits maandlasten'!$C$7,"",IF(B302&lt;'Investering &amp; Financiering'!$E$52-1,0,IF('Qredits maandlasten'!$C$10="Lineair",'Qredits maandlasten'!$H$4,IF('Qredits maandlasten'!$C$10="Annuïteit",IFERROR('Qredits maandlasten'!$H$4-K303,0),0)))))</f>
        <v/>
      </c>
      <c r="K303" s="423" t="str">
        <f>IF($B302="","",IF($B302+1&gt;'Qredits maandlasten'!$C$7,"",G303*I303*'Qredits maandlasten'!$C$8/12))</f>
        <v/>
      </c>
      <c r="L303" s="423" t="str">
        <f t="shared" si="22"/>
        <v/>
      </c>
      <c r="M303" s="423" t="str">
        <f t="shared" si="20"/>
        <v/>
      </c>
      <c r="N303" s="422"/>
      <c r="O303" s="424" t="str">
        <f>IF($B303="","",'Qredits maandlasten'!$C$8/12)</f>
        <v/>
      </c>
      <c r="P303" s="424" t="str">
        <f>IF($B303="","",'Qredits maandlasten'!$C$8/12*(POWER(1+'Qredits maandlasten'!$C$8/12,$B303-1+1)))</f>
        <v/>
      </c>
      <c r="Q303" s="424" t="str">
        <f t="shared" si="23"/>
        <v/>
      </c>
      <c r="R303" s="422"/>
      <c r="S303" s="423" t="str">
        <f t="shared" si="21"/>
        <v/>
      </c>
      <c r="T303" s="423" t="str">
        <f>IF(S303="","",J303/(POWER(1+'Qredits maandlasten'!$C$8/12,$B303-1+1)))</f>
        <v/>
      </c>
      <c r="U303" s="425" t="str">
        <f t="shared" si="24"/>
        <v/>
      </c>
      <c r="V303" s="423" t="str">
        <f>IF($B303="","",K303/(POWER(1+'Qredits maandlasten'!$C$8/12,$B303-1+1)))</f>
        <v/>
      </c>
      <c r="W303" s="422"/>
    </row>
    <row r="304" spans="1:23" s="427" customFormat="1" x14ac:dyDescent="0.2">
      <c r="A304" s="418"/>
      <c r="B304" s="419" t="str">
        <f>IF($B303="","",IF($B303+1&gt;'Qredits maandlasten'!$C$7,"",Schema!B303+1))</f>
        <v/>
      </c>
      <c r="C304" s="420" t="str">
        <f>IF($B303="","",IF($B303+1&gt;'Qredits maandlasten'!$C$7,"",EOMONTH(C303,0)+1))</f>
        <v/>
      </c>
      <c r="D304" s="418"/>
      <c r="E304" s="420" t="str">
        <f>IF($B303="","",IF($B303+1&gt;'Qredits maandlasten'!$C$7,"",F303+1))</f>
        <v/>
      </c>
      <c r="F304" s="420" t="str">
        <f>IF($B303="","",IF($B303+1&gt;'Qredits maandlasten'!$C$7,"",EOMONTH(C304,-1)))</f>
        <v/>
      </c>
      <c r="G304" s="421" t="str">
        <f>IF($B303="","",IF($B303+1&gt;'Qredits maandlasten'!$C$7,"",(_xlfn.DAYS(F304,E304)+1)/DAY(F304)))</f>
        <v/>
      </c>
      <c r="H304" s="422"/>
      <c r="I304" s="423" t="str">
        <f>IF($B303="","",IF($B303+1&gt;'Qredits maandlasten'!$C$7,"",I303-J303))</f>
        <v/>
      </c>
      <c r="J304" s="423" t="str">
        <f>IF($B303="","",IF($B303+1&gt;'Qredits maandlasten'!$C$7,"",IF(B303&lt;'Investering &amp; Financiering'!$E$52-1,0,IF('Qredits maandlasten'!$C$10="Lineair",'Qredits maandlasten'!$H$4,IF('Qredits maandlasten'!$C$10="Annuïteit",IFERROR('Qredits maandlasten'!$H$4-K304,0),0)))))</f>
        <v/>
      </c>
      <c r="K304" s="423" t="str">
        <f>IF($B303="","",IF($B303+1&gt;'Qredits maandlasten'!$C$7,"",G304*I304*'Qredits maandlasten'!$C$8/12))</f>
        <v/>
      </c>
      <c r="L304" s="423" t="str">
        <f t="shared" si="22"/>
        <v/>
      </c>
      <c r="M304" s="423" t="str">
        <f t="shared" si="20"/>
        <v/>
      </c>
      <c r="N304" s="422"/>
      <c r="O304" s="424" t="str">
        <f>IF($B304="","",'Qredits maandlasten'!$C$8/12)</f>
        <v/>
      </c>
      <c r="P304" s="424" t="str">
        <f>IF($B304="","",'Qredits maandlasten'!$C$8/12*(POWER(1+'Qredits maandlasten'!$C$8/12,$B304-1+1)))</f>
        <v/>
      </c>
      <c r="Q304" s="424" t="str">
        <f t="shared" si="23"/>
        <v/>
      </c>
      <c r="R304" s="422"/>
      <c r="S304" s="423" t="str">
        <f t="shared" si="21"/>
        <v/>
      </c>
      <c r="T304" s="423" t="str">
        <f>IF(S304="","",J304/(POWER(1+'Qredits maandlasten'!$C$8/12,$B304-1+1)))</f>
        <v/>
      </c>
      <c r="U304" s="425" t="str">
        <f t="shared" si="24"/>
        <v/>
      </c>
      <c r="V304" s="423" t="str">
        <f>IF($B304="","",K304/(POWER(1+'Qredits maandlasten'!$C$8/12,$B304-1+1)))</f>
        <v/>
      </c>
      <c r="W304" s="422"/>
    </row>
    <row r="305" spans="1:23" s="427" customFormat="1" x14ac:dyDescent="0.2">
      <c r="A305" s="418"/>
      <c r="B305" s="419" t="str">
        <f>IF($B304="","",IF($B304+1&gt;'Qredits maandlasten'!$C$7,"",Schema!B304+1))</f>
        <v/>
      </c>
      <c r="C305" s="420" t="str">
        <f>IF($B304="","",IF($B304+1&gt;'Qredits maandlasten'!$C$7,"",EOMONTH(C304,0)+1))</f>
        <v/>
      </c>
      <c r="D305" s="418"/>
      <c r="E305" s="420" t="str">
        <f>IF($B304="","",IF($B304+1&gt;'Qredits maandlasten'!$C$7,"",F304+1))</f>
        <v/>
      </c>
      <c r="F305" s="420" t="str">
        <f>IF($B304="","",IF($B304+1&gt;'Qredits maandlasten'!$C$7,"",EOMONTH(C305,-1)))</f>
        <v/>
      </c>
      <c r="G305" s="421" t="str">
        <f>IF($B304="","",IF($B304+1&gt;'Qredits maandlasten'!$C$7,"",(_xlfn.DAYS(F305,E305)+1)/DAY(F305)))</f>
        <v/>
      </c>
      <c r="H305" s="422"/>
      <c r="I305" s="423" t="str">
        <f>IF($B304="","",IF($B304+1&gt;'Qredits maandlasten'!$C$7,"",I304-J304))</f>
        <v/>
      </c>
      <c r="J305" s="423" t="str">
        <f>IF($B304="","",IF($B304+1&gt;'Qredits maandlasten'!$C$7,"",IF(B304&lt;'Investering &amp; Financiering'!$E$52-1,0,IF('Qredits maandlasten'!$C$10="Lineair",'Qredits maandlasten'!$H$4,IF('Qredits maandlasten'!$C$10="Annuïteit",IFERROR('Qredits maandlasten'!$H$4-K305,0),0)))))</f>
        <v/>
      </c>
      <c r="K305" s="423" t="str">
        <f>IF($B304="","",IF($B304+1&gt;'Qredits maandlasten'!$C$7,"",G305*I305*'Qredits maandlasten'!$C$8/12))</f>
        <v/>
      </c>
      <c r="L305" s="423" t="str">
        <f t="shared" si="22"/>
        <v/>
      </c>
      <c r="M305" s="423" t="str">
        <f t="shared" si="20"/>
        <v/>
      </c>
      <c r="N305" s="422"/>
      <c r="O305" s="424" t="str">
        <f>IF($B305="","",'Qredits maandlasten'!$C$8/12)</f>
        <v/>
      </c>
      <c r="P305" s="424" t="str">
        <f>IF($B305="","",'Qredits maandlasten'!$C$8/12*(POWER(1+'Qredits maandlasten'!$C$8/12,$B305-1+1)))</f>
        <v/>
      </c>
      <c r="Q305" s="424" t="str">
        <f t="shared" si="23"/>
        <v/>
      </c>
      <c r="R305" s="422"/>
      <c r="S305" s="423" t="str">
        <f t="shared" si="21"/>
        <v/>
      </c>
      <c r="T305" s="423" t="str">
        <f>IF(S305="","",J305/(POWER(1+'Qredits maandlasten'!$C$8/12,$B305-1+1)))</f>
        <v/>
      </c>
      <c r="U305" s="425" t="str">
        <f t="shared" si="24"/>
        <v/>
      </c>
      <c r="V305" s="423" t="str">
        <f>IF($B305="","",K305/(POWER(1+'Qredits maandlasten'!$C$8/12,$B305-1+1)))</f>
        <v/>
      </c>
      <c r="W305" s="422"/>
    </row>
    <row r="306" spans="1:23" s="427" customFormat="1" x14ac:dyDescent="0.2">
      <c r="A306" s="418"/>
      <c r="B306" s="419" t="str">
        <f>IF($B305="","",IF($B305+1&gt;'Qredits maandlasten'!$C$7,"",Schema!B305+1))</f>
        <v/>
      </c>
      <c r="C306" s="420" t="str">
        <f>IF($B305="","",IF($B305+1&gt;'Qredits maandlasten'!$C$7,"",EOMONTH(C305,0)+1))</f>
        <v/>
      </c>
      <c r="D306" s="418"/>
      <c r="E306" s="420" t="str">
        <f>IF($B305="","",IF($B305+1&gt;'Qredits maandlasten'!$C$7,"",F305+1))</f>
        <v/>
      </c>
      <c r="F306" s="420" t="str">
        <f>IF($B305="","",IF($B305+1&gt;'Qredits maandlasten'!$C$7,"",EOMONTH(C306,-1)))</f>
        <v/>
      </c>
      <c r="G306" s="421" t="str">
        <f>IF($B305="","",IF($B305+1&gt;'Qredits maandlasten'!$C$7,"",(_xlfn.DAYS(F306,E306)+1)/DAY(F306)))</f>
        <v/>
      </c>
      <c r="H306" s="422"/>
      <c r="I306" s="423" t="str">
        <f>IF($B305="","",IF($B305+1&gt;'Qredits maandlasten'!$C$7,"",I305-J305))</f>
        <v/>
      </c>
      <c r="J306" s="423" t="str">
        <f>IF($B305="","",IF($B305+1&gt;'Qredits maandlasten'!$C$7,"",IF(B305&lt;'Investering &amp; Financiering'!$E$52-1,0,IF('Qredits maandlasten'!$C$10="Lineair",'Qredits maandlasten'!$H$4,IF('Qredits maandlasten'!$C$10="Annuïteit",IFERROR('Qredits maandlasten'!$H$4-K306,0),0)))))</f>
        <v/>
      </c>
      <c r="K306" s="423" t="str">
        <f>IF($B305="","",IF($B305+1&gt;'Qredits maandlasten'!$C$7,"",G306*I306*'Qredits maandlasten'!$C$8/12))</f>
        <v/>
      </c>
      <c r="L306" s="423" t="str">
        <f t="shared" si="22"/>
        <v/>
      </c>
      <c r="M306" s="423" t="str">
        <f t="shared" si="20"/>
        <v/>
      </c>
      <c r="N306" s="422"/>
      <c r="O306" s="424" t="str">
        <f>IF($B306="","",'Qredits maandlasten'!$C$8/12)</f>
        <v/>
      </c>
      <c r="P306" s="424" t="str">
        <f>IF($B306="","",'Qredits maandlasten'!$C$8/12*(POWER(1+'Qredits maandlasten'!$C$8/12,$B306-1+1)))</f>
        <v/>
      </c>
      <c r="Q306" s="424" t="str">
        <f t="shared" si="23"/>
        <v/>
      </c>
      <c r="R306" s="422"/>
      <c r="S306" s="423" t="str">
        <f t="shared" si="21"/>
        <v/>
      </c>
      <c r="T306" s="423" t="str">
        <f>IF(S306="","",J306/(POWER(1+'Qredits maandlasten'!$C$8/12,$B306-1+1)))</f>
        <v/>
      </c>
      <c r="U306" s="425" t="str">
        <f t="shared" si="24"/>
        <v/>
      </c>
      <c r="V306" s="423" t="str">
        <f>IF($B306="","",K306/(POWER(1+'Qredits maandlasten'!$C$8/12,$B306-1+1)))</f>
        <v/>
      </c>
      <c r="W306" s="422"/>
    </row>
    <row r="307" spans="1:23" s="427" customFormat="1" x14ac:dyDescent="0.2">
      <c r="A307" s="418"/>
      <c r="B307" s="419" t="str">
        <f>IF($B306="","",IF($B306+1&gt;'Qredits maandlasten'!$C$7,"",Schema!B306+1))</f>
        <v/>
      </c>
      <c r="C307" s="420" t="str">
        <f>IF($B306="","",IF($B306+1&gt;'Qredits maandlasten'!$C$7,"",EOMONTH(C306,0)+1))</f>
        <v/>
      </c>
      <c r="D307" s="418"/>
      <c r="E307" s="420" t="str">
        <f>IF($B306="","",IF($B306+1&gt;'Qredits maandlasten'!$C$7,"",F306+1))</f>
        <v/>
      </c>
      <c r="F307" s="420" t="str">
        <f>IF($B306="","",IF($B306+1&gt;'Qredits maandlasten'!$C$7,"",EOMONTH(C307,-1)))</f>
        <v/>
      </c>
      <c r="G307" s="421" t="str">
        <f>IF($B306="","",IF($B306+1&gt;'Qredits maandlasten'!$C$7,"",(_xlfn.DAYS(F307,E307)+1)/DAY(F307)))</f>
        <v/>
      </c>
      <c r="H307" s="422"/>
      <c r="I307" s="423" t="str">
        <f>IF($B306="","",IF($B306+1&gt;'Qredits maandlasten'!$C$7,"",I306-J306))</f>
        <v/>
      </c>
      <c r="J307" s="423" t="str">
        <f>IF($B306="","",IF($B306+1&gt;'Qredits maandlasten'!$C$7,"",IF(B306&lt;'Investering &amp; Financiering'!$E$52-1,0,IF('Qredits maandlasten'!$C$10="Lineair",'Qredits maandlasten'!$H$4,IF('Qredits maandlasten'!$C$10="Annuïteit",IFERROR('Qredits maandlasten'!$H$4-K307,0),0)))))</f>
        <v/>
      </c>
      <c r="K307" s="423" t="str">
        <f>IF($B306="","",IF($B306+1&gt;'Qredits maandlasten'!$C$7,"",G307*I307*'Qredits maandlasten'!$C$8/12))</f>
        <v/>
      </c>
      <c r="L307" s="423" t="str">
        <f t="shared" si="22"/>
        <v/>
      </c>
      <c r="M307" s="423" t="str">
        <f t="shared" si="20"/>
        <v/>
      </c>
      <c r="N307" s="422"/>
      <c r="O307" s="424" t="str">
        <f>IF($B307="","",'Qredits maandlasten'!$C$8/12)</f>
        <v/>
      </c>
      <c r="P307" s="424" t="str">
        <f>IF($B307="","",'Qredits maandlasten'!$C$8/12*(POWER(1+'Qredits maandlasten'!$C$8/12,$B307-1+1)))</f>
        <v/>
      </c>
      <c r="Q307" s="424" t="str">
        <f t="shared" si="23"/>
        <v/>
      </c>
      <c r="R307" s="422"/>
      <c r="S307" s="423" t="str">
        <f t="shared" si="21"/>
        <v/>
      </c>
      <c r="T307" s="423" t="str">
        <f>IF(S307="","",J307/(POWER(1+'Qredits maandlasten'!$C$8/12,$B307-1+1)))</f>
        <v/>
      </c>
      <c r="U307" s="425" t="str">
        <f t="shared" si="24"/>
        <v/>
      </c>
      <c r="V307" s="423" t="str">
        <f>IF($B307="","",K307/(POWER(1+'Qredits maandlasten'!$C$8/12,$B307-1+1)))</f>
        <v/>
      </c>
      <c r="W307" s="422"/>
    </row>
    <row r="308" spans="1:23" s="427" customFormat="1" x14ac:dyDescent="0.2">
      <c r="A308" s="418"/>
      <c r="B308" s="419" t="str">
        <f>IF($B307="","",IF($B307+1&gt;'Qredits maandlasten'!$C$7,"",Schema!B307+1))</f>
        <v/>
      </c>
      <c r="C308" s="420" t="str">
        <f>IF($B307="","",IF($B307+1&gt;'Qredits maandlasten'!$C$7,"",EOMONTH(C307,0)+1))</f>
        <v/>
      </c>
      <c r="D308" s="418"/>
      <c r="E308" s="420" t="str">
        <f>IF($B307="","",IF($B307+1&gt;'Qredits maandlasten'!$C$7,"",F307+1))</f>
        <v/>
      </c>
      <c r="F308" s="420" t="str">
        <f>IF($B307="","",IF($B307+1&gt;'Qredits maandlasten'!$C$7,"",EOMONTH(C308,-1)))</f>
        <v/>
      </c>
      <c r="G308" s="421" t="str">
        <f>IF($B307="","",IF($B307+1&gt;'Qredits maandlasten'!$C$7,"",(_xlfn.DAYS(F308,E308)+1)/DAY(F308)))</f>
        <v/>
      </c>
      <c r="H308" s="422"/>
      <c r="I308" s="423" t="str">
        <f>IF($B307="","",IF($B307+1&gt;'Qredits maandlasten'!$C$7,"",I307-J307))</f>
        <v/>
      </c>
      <c r="J308" s="423" t="str">
        <f>IF($B307="","",IF($B307+1&gt;'Qredits maandlasten'!$C$7,"",IF(B307&lt;'Investering &amp; Financiering'!$E$52-1,0,IF('Qredits maandlasten'!$C$10="Lineair",'Qredits maandlasten'!$H$4,IF('Qredits maandlasten'!$C$10="Annuïteit",IFERROR('Qredits maandlasten'!$H$4-K308,0),0)))))</f>
        <v/>
      </c>
      <c r="K308" s="423" t="str">
        <f>IF($B307="","",IF($B307+1&gt;'Qredits maandlasten'!$C$7,"",G308*I308*'Qredits maandlasten'!$C$8/12))</f>
        <v/>
      </c>
      <c r="L308" s="423" t="str">
        <f t="shared" si="22"/>
        <v/>
      </c>
      <c r="M308" s="423" t="str">
        <f t="shared" si="20"/>
        <v/>
      </c>
      <c r="N308" s="422"/>
      <c r="O308" s="424" t="str">
        <f>IF($B308="","",'Qredits maandlasten'!$C$8/12)</f>
        <v/>
      </c>
      <c r="P308" s="424" t="str">
        <f>IF($B308="","",'Qredits maandlasten'!$C$8/12*(POWER(1+'Qredits maandlasten'!$C$8/12,$B308-1+1)))</f>
        <v/>
      </c>
      <c r="Q308" s="424" t="str">
        <f t="shared" si="23"/>
        <v/>
      </c>
      <c r="R308" s="422"/>
      <c r="S308" s="423" t="str">
        <f t="shared" si="21"/>
        <v/>
      </c>
      <c r="T308" s="423" t="str">
        <f>IF(S308="","",J308/(POWER(1+'Qredits maandlasten'!$C$8/12,$B308-1+1)))</f>
        <v/>
      </c>
      <c r="U308" s="425" t="str">
        <f t="shared" si="24"/>
        <v/>
      </c>
      <c r="V308" s="423" t="str">
        <f>IF($B308="","",K308/(POWER(1+'Qredits maandlasten'!$C$8/12,$B308-1+1)))</f>
        <v/>
      </c>
      <c r="W308" s="422"/>
    </row>
    <row r="309" spans="1:23" s="427" customFormat="1" x14ac:dyDescent="0.2">
      <c r="A309" s="418"/>
      <c r="B309" s="419" t="str">
        <f>IF($B308="","",IF($B308+1&gt;'Qredits maandlasten'!$C$7,"",Schema!B308+1))</f>
        <v/>
      </c>
      <c r="C309" s="420" t="str">
        <f>IF($B308="","",IF($B308+1&gt;'Qredits maandlasten'!$C$7,"",EOMONTH(C308,0)+1))</f>
        <v/>
      </c>
      <c r="D309" s="418"/>
      <c r="E309" s="420" t="str">
        <f>IF($B308="","",IF($B308+1&gt;'Qredits maandlasten'!$C$7,"",F308+1))</f>
        <v/>
      </c>
      <c r="F309" s="420" t="str">
        <f>IF($B308="","",IF($B308+1&gt;'Qredits maandlasten'!$C$7,"",EOMONTH(C309,-1)))</f>
        <v/>
      </c>
      <c r="G309" s="421" t="str">
        <f>IF($B308="","",IF($B308+1&gt;'Qredits maandlasten'!$C$7,"",(_xlfn.DAYS(F309,E309)+1)/DAY(F309)))</f>
        <v/>
      </c>
      <c r="H309" s="422"/>
      <c r="I309" s="423" t="str">
        <f>IF($B308="","",IF($B308+1&gt;'Qredits maandlasten'!$C$7,"",I308-J308))</f>
        <v/>
      </c>
      <c r="J309" s="423" t="str">
        <f>IF($B308="","",IF($B308+1&gt;'Qredits maandlasten'!$C$7,"",IF(B308&lt;'Investering &amp; Financiering'!$E$52-1,0,IF('Qredits maandlasten'!$C$10="Lineair",'Qredits maandlasten'!$H$4,IF('Qredits maandlasten'!$C$10="Annuïteit",IFERROR('Qredits maandlasten'!$H$4-K309,0),0)))))</f>
        <v/>
      </c>
      <c r="K309" s="423" t="str">
        <f>IF($B308="","",IF($B308+1&gt;'Qredits maandlasten'!$C$7,"",G309*I309*'Qredits maandlasten'!$C$8/12))</f>
        <v/>
      </c>
      <c r="L309" s="423" t="str">
        <f t="shared" si="22"/>
        <v/>
      </c>
      <c r="M309" s="423" t="str">
        <f t="shared" si="20"/>
        <v/>
      </c>
      <c r="N309" s="422"/>
      <c r="O309" s="424" t="str">
        <f>IF($B309="","",'Qredits maandlasten'!$C$8/12)</f>
        <v/>
      </c>
      <c r="P309" s="424" t="str">
        <f>IF($B309="","",'Qredits maandlasten'!$C$8/12*(POWER(1+'Qredits maandlasten'!$C$8/12,$B309-1+1)))</f>
        <v/>
      </c>
      <c r="Q309" s="424" t="str">
        <f t="shared" si="23"/>
        <v/>
      </c>
      <c r="R309" s="422"/>
      <c r="S309" s="423" t="str">
        <f t="shared" si="21"/>
        <v/>
      </c>
      <c r="T309" s="423" t="str">
        <f>IF(S309="","",J309/(POWER(1+'Qredits maandlasten'!$C$8/12,$B309-1+1)))</f>
        <v/>
      </c>
      <c r="U309" s="425" t="str">
        <f t="shared" si="24"/>
        <v/>
      </c>
      <c r="V309" s="423" t="str">
        <f>IF($B309="","",K309/(POWER(1+'Qredits maandlasten'!$C$8/12,$B309-1+1)))</f>
        <v/>
      </c>
      <c r="W309" s="422"/>
    </row>
    <row r="310" spans="1:23" s="427" customFormat="1" x14ac:dyDescent="0.2">
      <c r="A310" s="418"/>
      <c r="B310" s="419" t="str">
        <f>IF($B309="","",IF($B309+1&gt;'Qredits maandlasten'!$C$7,"",Schema!B309+1))</f>
        <v/>
      </c>
      <c r="C310" s="420" t="str">
        <f>IF($B309="","",IF($B309+1&gt;'Qredits maandlasten'!$C$7,"",EOMONTH(C309,0)+1))</f>
        <v/>
      </c>
      <c r="D310" s="418"/>
      <c r="E310" s="420" t="str">
        <f>IF($B309="","",IF($B309+1&gt;'Qredits maandlasten'!$C$7,"",F309+1))</f>
        <v/>
      </c>
      <c r="F310" s="420" t="str">
        <f>IF($B309="","",IF($B309+1&gt;'Qredits maandlasten'!$C$7,"",EOMONTH(C310,-1)))</f>
        <v/>
      </c>
      <c r="G310" s="421" t="str">
        <f>IF($B309="","",IF($B309+1&gt;'Qredits maandlasten'!$C$7,"",(_xlfn.DAYS(F310,E310)+1)/DAY(F310)))</f>
        <v/>
      </c>
      <c r="H310" s="422"/>
      <c r="I310" s="423" t="str">
        <f>IF($B309="","",IF($B309+1&gt;'Qredits maandlasten'!$C$7,"",I309-J309))</f>
        <v/>
      </c>
      <c r="J310" s="423" t="str">
        <f>IF($B309="","",IF($B309+1&gt;'Qredits maandlasten'!$C$7,"",IF(B309&lt;'Investering &amp; Financiering'!$E$52-1,0,IF('Qredits maandlasten'!$C$10="Lineair",'Qredits maandlasten'!$H$4,IF('Qredits maandlasten'!$C$10="Annuïteit",IFERROR('Qredits maandlasten'!$H$4-K310,0),0)))))</f>
        <v/>
      </c>
      <c r="K310" s="423" t="str">
        <f>IF($B309="","",IF($B309+1&gt;'Qredits maandlasten'!$C$7,"",G310*I310*'Qredits maandlasten'!$C$8/12))</f>
        <v/>
      </c>
      <c r="L310" s="423" t="str">
        <f t="shared" si="22"/>
        <v/>
      </c>
      <c r="M310" s="423" t="str">
        <f t="shared" si="20"/>
        <v/>
      </c>
      <c r="N310" s="422"/>
      <c r="O310" s="424" t="str">
        <f>IF($B310="","",'Qredits maandlasten'!$C$8/12)</f>
        <v/>
      </c>
      <c r="P310" s="424" t="str">
        <f>IF($B310="","",'Qredits maandlasten'!$C$8/12*(POWER(1+'Qredits maandlasten'!$C$8/12,$B310-1+1)))</f>
        <v/>
      </c>
      <c r="Q310" s="424" t="str">
        <f t="shared" si="23"/>
        <v/>
      </c>
      <c r="R310" s="422"/>
      <c r="S310" s="423" t="str">
        <f t="shared" si="21"/>
        <v/>
      </c>
      <c r="T310" s="423" t="str">
        <f>IF(S310="","",J310/(POWER(1+'Qredits maandlasten'!$C$8/12,$B310-1+1)))</f>
        <v/>
      </c>
      <c r="U310" s="425" t="str">
        <f t="shared" si="24"/>
        <v/>
      </c>
      <c r="V310" s="423" t="str">
        <f>IF($B310="","",K310/(POWER(1+'Qredits maandlasten'!$C$8/12,$B310-1+1)))</f>
        <v/>
      </c>
      <c r="W310" s="422"/>
    </row>
    <row r="311" spans="1:23" s="427" customFormat="1" x14ac:dyDescent="0.2">
      <c r="A311" s="418"/>
      <c r="B311" s="419" t="str">
        <f>IF($B310="","",IF($B310+1&gt;'Qredits maandlasten'!$C$7,"",Schema!B310+1))</f>
        <v/>
      </c>
      <c r="C311" s="420" t="str">
        <f>IF($B310="","",IF($B310+1&gt;'Qredits maandlasten'!$C$7,"",EOMONTH(C310,0)+1))</f>
        <v/>
      </c>
      <c r="D311" s="418"/>
      <c r="E311" s="420" t="str">
        <f>IF($B310="","",IF($B310+1&gt;'Qredits maandlasten'!$C$7,"",F310+1))</f>
        <v/>
      </c>
      <c r="F311" s="420" t="str">
        <f>IF($B310="","",IF($B310+1&gt;'Qredits maandlasten'!$C$7,"",EOMONTH(C311,-1)))</f>
        <v/>
      </c>
      <c r="G311" s="421" t="str">
        <f>IF($B310="","",IF($B310+1&gt;'Qredits maandlasten'!$C$7,"",(_xlfn.DAYS(F311,E311)+1)/DAY(F311)))</f>
        <v/>
      </c>
      <c r="H311" s="422"/>
      <c r="I311" s="423" t="str">
        <f>IF($B310="","",IF($B310+1&gt;'Qredits maandlasten'!$C$7,"",I310-J310))</f>
        <v/>
      </c>
      <c r="J311" s="423" t="str">
        <f>IF($B310="","",IF($B310+1&gt;'Qredits maandlasten'!$C$7,"",IF(B310&lt;'Investering &amp; Financiering'!$E$52-1,0,IF('Qredits maandlasten'!$C$10="Lineair",'Qredits maandlasten'!$H$4,IF('Qredits maandlasten'!$C$10="Annuïteit",IFERROR('Qredits maandlasten'!$H$4-K311,0),0)))))</f>
        <v/>
      </c>
      <c r="K311" s="423" t="str">
        <f>IF($B310="","",IF($B310+1&gt;'Qredits maandlasten'!$C$7,"",G311*I311*'Qredits maandlasten'!$C$8/12))</f>
        <v/>
      </c>
      <c r="L311" s="423" t="str">
        <f t="shared" si="22"/>
        <v/>
      </c>
      <c r="M311" s="423" t="str">
        <f t="shared" si="20"/>
        <v/>
      </c>
      <c r="N311" s="422"/>
      <c r="O311" s="424" t="str">
        <f>IF($B311="","",'Qredits maandlasten'!$C$8/12)</f>
        <v/>
      </c>
      <c r="P311" s="424" t="str">
        <f>IF($B311="","",'Qredits maandlasten'!$C$8/12*(POWER(1+'Qredits maandlasten'!$C$8/12,$B311-1+1)))</f>
        <v/>
      </c>
      <c r="Q311" s="424" t="str">
        <f t="shared" si="23"/>
        <v/>
      </c>
      <c r="R311" s="422"/>
      <c r="S311" s="423" t="str">
        <f t="shared" si="21"/>
        <v/>
      </c>
      <c r="T311" s="423" t="str">
        <f>IF(S311="","",J311/(POWER(1+'Qredits maandlasten'!$C$8/12,$B311-1+1)))</f>
        <v/>
      </c>
      <c r="U311" s="425" t="str">
        <f t="shared" si="24"/>
        <v/>
      </c>
      <c r="V311" s="423" t="str">
        <f>IF($B311="","",K311/(POWER(1+'Qredits maandlasten'!$C$8/12,$B311-1+1)))</f>
        <v/>
      </c>
      <c r="W311" s="422"/>
    </row>
    <row r="312" spans="1:23" s="427" customFormat="1" x14ac:dyDescent="0.2">
      <c r="A312" s="418"/>
      <c r="B312" s="419" t="str">
        <f>IF($B311="","",IF($B311+1&gt;'Qredits maandlasten'!$C$7,"",Schema!B311+1))</f>
        <v/>
      </c>
      <c r="C312" s="420" t="str">
        <f>IF($B311="","",IF($B311+1&gt;'Qredits maandlasten'!$C$7,"",EOMONTH(C311,0)+1))</f>
        <v/>
      </c>
      <c r="D312" s="418"/>
      <c r="E312" s="420" t="str">
        <f>IF($B311="","",IF($B311+1&gt;'Qredits maandlasten'!$C$7,"",F311+1))</f>
        <v/>
      </c>
      <c r="F312" s="420" t="str">
        <f>IF($B311="","",IF($B311+1&gt;'Qredits maandlasten'!$C$7,"",EOMONTH(C312,-1)))</f>
        <v/>
      </c>
      <c r="G312" s="421" t="str">
        <f>IF($B311="","",IF($B311+1&gt;'Qredits maandlasten'!$C$7,"",(_xlfn.DAYS(F312,E312)+1)/DAY(F312)))</f>
        <v/>
      </c>
      <c r="H312" s="422"/>
      <c r="I312" s="423" t="str">
        <f>IF($B311="","",IF($B311+1&gt;'Qredits maandlasten'!$C$7,"",I311-J311))</f>
        <v/>
      </c>
      <c r="J312" s="423" t="str">
        <f>IF($B311="","",IF($B311+1&gt;'Qredits maandlasten'!$C$7,"",IF(B311&lt;'Investering &amp; Financiering'!$E$52-1,0,IF('Qredits maandlasten'!$C$10="Lineair",'Qredits maandlasten'!$H$4,IF('Qredits maandlasten'!$C$10="Annuïteit",IFERROR('Qredits maandlasten'!$H$4-K312,0),0)))))</f>
        <v/>
      </c>
      <c r="K312" s="423" t="str">
        <f>IF($B311="","",IF($B311+1&gt;'Qredits maandlasten'!$C$7,"",G312*I312*'Qredits maandlasten'!$C$8/12))</f>
        <v/>
      </c>
      <c r="L312" s="423" t="str">
        <f t="shared" si="22"/>
        <v/>
      </c>
      <c r="M312" s="423" t="str">
        <f t="shared" si="20"/>
        <v/>
      </c>
      <c r="N312" s="422"/>
      <c r="O312" s="424" t="str">
        <f>IF($B312="","",'Qredits maandlasten'!$C$8/12)</f>
        <v/>
      </c>
      <c r="P312" s="424" t="str">
        <f>IF($B312="","",'Qredits maandlasten'!$C$8/12*(POWER(1+'Qredits maandlasten'!$C$8/12,$B312-1+1)))</f>
        <v/>
      </c>
      <c r="Q312" s="424" t="str">
        <f t="shared" si="23"/>
        <v/>
      </c>
      <c r="R312" s="422"/>
      <c r="S312" s="423" t="str">
        <f t="shared" si="21"/>
        <v/>
      </c>
      <c r="T312" s="423" t="str">
        <f>IF(S312="","",J312/(POWER(1+'Qredits maandlasten'!$C$8/12,$B312-1+1)))</f>
        <v/>
      </c>
      <c r="U312" s="425" t="str">
        <f t="shared" si="24"/>
        <v/>
      </c>
      <c r="V312" s="423" t="str">
        <f>IF($B312="","",K312/(POWER(1+'Qredits maandlasten'!$C$8/12,$B312-1+1)))</f>
        <v/>
      </c>
      <c r="W312" s="422"/>
    </row>
    <row r="313" spans="1:23" s="427" customFormat="1" x14ac:dyDescent="0.2">
      <c r="A313" s="418"/>
      <c r="B313" s="419" t="str">
        <f>IF($B312="","",IF($B312+1&gt;'Qredits maandlasten'!$C$7,"",Schema!B312+1))</f>
        <v/>
      </c>
      <c r="C313" s="420" t="str">
        <f>IF($B312="","",IF($B312+1&gt;'Qredits maandlasten'!$C$7,"",EOMONTH(C312,0)+1))</f>
        <v/>
      </c>
      <c r="D313" s="418"/>
      <c r="E313" s="420" t="str">
        <f>IF($B312="","",IF($B312+1&gt;'Qredits maandlasten'!$C$7,"",F312+1))</f>
        <v/>
      </c>
      <c r="F313" s="420" t="str">
        <f>IF($B312="","",IF($B312+1&gt;'Qredits maandlasten'!$C$7,"",EOMONTH(C313,-1)))</f>
        <v/>
      </c>
      <c r="G313" s="421" t="str">
        <f>IF($B312="","",IF($B312+1&gt;'Qredits maandlasten'!$C$7,"",(_xlfn.DAYS(F313,E313)+1)/DAY(F313)))</f>
        <v/>
      </c>
      <c r="H313" s="422"/>
      <c r="I313" s="423" t="str">
        <f>IF($B312="","",IF($B312+1&gt;'Qredits maandlasten'!$C$7,"",I312-J312))</f>
        <v/>
      </c>
      <c r="J313" s="423" t="str">
        <f>IF($B312="","",IF($B312+1&gt;'Qredits maandlasten'!$C$7,"",IF(B312&lt;'Investering &amp; Financiering'!$E$52-1,0,IF('Qredits maandlasten'!$C$10="Lineair",'Qredits maandlasten'!$H$4,IF('Qredits maandlasten'!$C$10="Annuïteit",IFERROR('Qredits maandlasten'!$H$4-K313,0),0)))))</f>
        <v/>
      </c>
      <c r="K313" s="423" t="str">
        <f>IF($B312="","",IF($B312+1&gt;'Qredits maandlasten'!$C$7,"",G313*I313*'Qredits maandlasten'!$C$8/12))</f>
        <v/>
      </c>
      <c r="L313" s="423" t="str">
        <f t="shared" si="22"/>
        <v/>
      </c>
      <c r="M313" s="423" t="str">
        <f t="shared" si="20"/>
        <v/>
      </c>
      <c r="N313" s="422"/>
      <c r="O313" s="424" t="str">
        <f>IF($B313="","",'Qredits maandlasten'!$C$8/12)</f>
        <v/>
      </c>
      <c r="P313" s="424" t="str">
        <f>IF($B313="","",'Qredits maandlasten'!$C$8/12*(POWER(1+'Qredits maandlasten'!$C$8/12,$B313-1+1)))</f>
        <v/>
      </c>
      <c r="Q313" s="424" t="str">
        <f t="shared" si="23"/>
        <v/>
      </c>
      <c r="R313" s="422"/>
      <c r="S313" s="423" t="str">
        <f t="shared" si="21"/>
        <v/>
      </c>
      <c r="T313" s="423" t="str">
        <f>IF(S313="","",J313/(POWER(1+'Qredits maandlasten'!$C$8/12,$B313-1+1)))</f>
        <v/>
      </c>
      <c r="U313" s="425" t="str">
        <f t="shared" si="24"/>
        <v/>
      </c>
      <c r="V313" s="423" t="str">
        <f>IF($B313="","",K313/(POWER(1+'Qredits maandlasten'!$C$8/12,$B313-1+1)))</f>
        <v/>
      </c>
      <c r="W313" s="422"/>
    </row>
    <row r="314" spans="1:23" s="427" customFormat="1" x14ac:dyDescent="0.2">
      <c r="A314" s="418"/>
      <c r="B314" s="419" t="str">
        <f>IF($B313="","",IF($B313+1&gt;'Qredits maandlasten'!$C$7,"",Schema!B313+1))</f>
        <v/>
      </c>
      <c r="C314" s="420" t="str">
        <f>IF($B313="","",IF($B313+1&gt;'Qredits maandlasten'!$C$7,"",EOMONTH(C313,0)+1))</f>
        <v/>
      </c>
      <c r="D314" s="418"/>
      <c r="E314" s="420" t="str">
        <f>IF($B313="","",IF($B313+1&gt;'Qredits maandlasten'!$C$7,"",F313+1))</f>
        <v/>
      </c>
      <c r="F314" s="420" t="str">
        <f>IF($B313="","",IF($B313+1&gt;'Qredits maandlasten'!$C$7,"",EOMONTH(C314,-1)))</f>
        <v/>
      </c>
      <c r="G314" s="421" t="str">
        <f>IF($B313="","",IF($B313+1&gt;'Qredits maandlasten'!$C$7,"",(_xlfn.DAYS(F314,E314)+1)/DAY(F314)))</f>
        <v/>
      </c>
      <c r="H314" s="422"/>
      <c r="I314" s="423" t="str">
        <f>IF($B313="","",IF($B313+1&gt;'Qredits maandlasten'!$C$7,"",I313-J313))</f>
        <v/>
      </c>
      <c r="J314" s="423" t="str">
        <f>IF($B313="","",IF($B313+1&gt;'Qredits maandlasten'!$C$7,"",IF(B313&lt;'Investering &amp; Financiering'!$E$52-1,0,IF('Qredits maandlasten'!$C$10="Lineair",'Qredits maandlasten'!$H$4,IF('Qredits maandlasten'!$C$10="Annuïteit",IFERROR('Qredits maandlasten'!$H$4-K314,0),0)))))</f>
        <v/>
      </c>
      <c r="K314" s="423" t="str">
        <f>IF($B313="","",IF($B313+1&gt;'Qredits maandlasten'!$C$7,"",G314*I314*'Qredits maandlasten'!$C$8/12))</f>
        <v/>
      </c>
      <c r="L314" s="423" t="str">
        <f t="shared" si="22"/>
        <v/>
      </c>
      <c r="M314" s="423" t="str">
        <f t="shared" si="20"/>
        <v/>
      </c>
      <c r="N314" s="422"/>
      <c r="O314" s="424" t="str">
        <f>IF($B314="","",'Qredits maandlasten'!$C$8/12)</f>
        <v/>
      </c>
      <c r="P314" s="424" t="str">
        <f>IF($B314="","",'Qredits maandlasten'!$C$8/12*(POWER(1+'Qredits maandlasten'!$C$8/12,$B314-1+1)))</f>
        <v/>
      </c>
      <c r="Q314" s="424" t="str">
        <f t="shared" si="23"/>
        <v/>
      </c>
      <c r="R314" s="422"/>
      <c r="S314" s="423" t="str">
        <f t="shared" si="21"/>
        <v/>
      </c>
      <c r="T314" s="423" t="str">
        <f>IF(S314="","",J314/(POWER(1+'Qredits maandlasten'!$C$8/12,$B314-1+1)))</f>
        <v/>
      </c>
      <c r="U314" s="425" t="str">
        <f t="shared" si="24"/>
        <v/>
      </c>
      <c r="V314" s="423" t="str">
        <f>IF($B314="","",K314/(POWER(1+'Qredits maandlasten'!$C$8/12,$B314-1+1)))</f>
        <v/>
      </c>
      <c r="W314" s="422"/>
    </row>
    <row r="315" spans="1:23" s="427" customFormat="1" x14ac:dyDescent="0.2">
      <c r="A315" s="418"/>
      <c r="B315" s="419" t="str">
        <f>IF($B314="","",IF($B314+1&gt;'Qredits maandlasten'!$C$7,"",Schema!B314+1))</f>
        <v/>
      </c>
      <c r="C315" s="420" t="str">
        <f>IF($B314="","",IF($B314+1&gt;'Qredits maandlasten'!$C$7,"",EOMONTH(C314,0)+1))</f>
        <v/>
      </c>
      <c r="D315" s="418"/>
      <c r="E315" s="420" t="str">
        <f>IF($B314="","",IF($B314+1&gt;'Qredits maandlasten'!$C$7,"",F314+1))</f>
        <v/>
      </c>
      <c r="F315" s="420" t="str">
        <f>IF($B314="","",IF($B314+1&gt;'Qredits maandlasten'!$C$7,"",EOMONTH(C315,-1)))</f>
        <v/>
      </c>
      <c r="G315" s="421" t="str">
        <f>IF($B314="","",IF($B314+1&gt;'Qredits maandlasten'!$C$7,"",(_xlfn.DAYS(F315,E315)+1)/DAY(F315)))</f>
        <v/>
      </c>
      <c r="H315" s="422"/>
      <c r="I315" s="423" t="str">
        <f>IF($B314="","",IF($B314+1&gt;'Qredits maandlasten'!$C$7,"",I314-J314))</f>
        <v/>
      </c>
      <c r="J315" s="423" t="str">
        <f>IF($B314="","",IF($B314+1&gt;'Qredits maandlasten'!$C$7,"",IF(B314&lt;'Investering &amp; Financiering'!$E$52-1,0,IF('Qredits maandlasten'!$C$10="Lineair",'Qredits maandlasten'!$H$4,IF('Qredits maandlasten'!$C$10="Annuïteit",IFERROR('Qredits maandlasten'!$H$4-K315,0),0)))))</f>
        <v/>
      </c>
      <c r="K315" s="423" t="str">
        <f>IF($B314="","",IF($B314+1&gt;'Qredits maandlasten'!$C$7,"",G315*I315*'Qredits maandlasten'!$C$8/12))</f>
        <v/>
      </c>
      <c r="L315" s="423" t="str">
        <f t="shared" si="22"/>
        <v/>
      </c>
      <c r="M315" s="423" t="str">
        <f t="shared" si="20"/>
        <v/>
      </c>
      <c r="N315" s="422"/>
      <c r="O315" s="424" t="str">
        <f>IF($B315="","",'Qredits maandlasten'!$C$8/12)</f>
        <v/>
      </c>
      <c r="P315" s="424" t="str">
        <f>IF($B315="","",'Qredits maandlasten'!$C$8/12*(POWER(1+'Qredits maandlasten'!$C$8/12,$B315-1+1)))</f>
        <v/>
      </c>
      <c r="Q315" s="424" t="str">
        <f t="shared" si="23"/>
        <v/>
      </c>
      <c r="R315" s="422"/>
      <c r="S315" s="423" t="str">
        <f t="shared" si="21"/>
        <v/>
      </c>
      <c r="T315" s="423" t="str">
        <f>IF(S315="","",J315/(POWER(1+'Qredits maandlasten'!$C$8/12,$B315-1+1)))</f>
        <v/>
      </c>
      <c r="U315" s="425" t="str">
        <f t="shared" si="24"/>
        <v/>
      </c>
      <c r="V315" s="423" t="str">
        <f>IF($B315="","",K315/(POWER(1+'Qredits maandlasten'!$C$8/12,$B315-1+1)))</f>
        <v/>
      </c>
      <c r="W315" s="422"/>
    </row>
    <row r="316" spans="1:23" s="427" customFormat="1" x14ac:dyDescent="0.2">
      <c r="A316" s="418"/>
      <c r="B316" s="419" t="str">
        <f>IF($B315="","",IF($B315+1&gt;'Qredits maandlasten'!$C$7,"",Schema!B315+1))</f>
        <v/>
      </c>
      <c r="C316" s="420" t="str">
        <f>IF($B315="","",IF($B315+1&gt;'Qredits maandlasten'!$C$7,"",EOMONTH(C315,0)+1))</f>
        <v/>
      </c>
      <c r="D316" s="418"/>
      <c r="E316" s="420" t="str">
        <f>IF($B315="","",IF($B315+1&gt;'Qredits maandlasten'!$C$7,"",F315+1))</f>
        <v/>
      </c>
      <c r="F316" s="420" t="str">
        <f>IF($B315="","",IF($B315+1&gt;'Qredits maandlasten'!$C$7,"",EOMONTH(C316,-1)))</f>
        <v/>
      </c>
      <c r="G316" s="421" t="str">
        <f>IF($B315="","",IF($B315+1&gt;'Qredits maandlasten'!$C$7,"",(_xlfn.DAYS(F316,E316)+1)/DAY(F316)))</f>
        <v/>
      </c>
      <c r="H316" s="422"/>
      <c r="I316" s="423" t="str">
        <f>IF($B315="","",IF($B315+1&gt;'Qredits maandlasten'!$C$7,"",I315-J315))</f>
        <v/>
      </c>
      <c r="J316" s="423" t="str">
        <f>IF($B315="","",IF($B315+1&gt;'Qredits maandlasten'!$C$7,"",IF(B315&lt;'Investering &amp; Financiering'!$E$52-1,0,IF('Qredits maandlasten'!$C$10="Lineair",'Qredits maandlasten'!$H$4,IF('Qredits maandlasten'!$C$10="Annuïteit",IFERROR('Qredits maandlasten'!$H$4-K316,0),0)))))</f>
        <v/>
      </c>
      <c r="K316" s="423" t="str">
        <f>IF($B315="","",IF($B315+1&gt;'Qredits maandlasten'!$C$7,"",G316*I316*'Qredits maandlasten'!$C$8/12))</f>
        <v/>
      </c>
      <c r="L316" s="423" t="str">
        <f t="shared" si="22"/>
        <v/>
      </c>
      <c r="M316" s="423" t="str">
        <f t="shared" si="20"/>
        <v/>
      </c>
      <c r="N316" s="422"/>
      <c r="O316" s="424" t="str">
        <f>IF($B316="","",'Qredits maandlasten'!$C$8/12)</f>
        <v/>
      </c>
      <c r="P316" s="424" t="str">
        <f>IF($B316="","",'Qredits maandlasten'!$C$8/12*(POWER(1+'Qredits maandlasten'!$C$8/12,$B316-1+1)))</f>
        <v/>
      </c>
      <c r="Q316" s="424" t="str">
        <f t="shared" si="23"/>
        <v/>
      </c>
      <c r="R316" s="422"/>
      <c r="S316" s="423" t="str">
        <f t="shared" si="21"/>
        <v/>
      </c>
      <c r="T316" s="423" t="str">
        <f>IF(S316="","",J316/(POWER(1+'Qredits maandlasten'!$C$8/12,$B316-1+1)))</f>
        <v/>
      </c>
      <c r="U316" s="425" t="str">
        <f t="shared" si="24"/>
        <v/>
      </c>
      <c r="V316" s="423" t="str">
        <f>IF($B316="","",K316/(POWER(1+'Qredits maandlasten'!$C$8/12,$B316-1+1)))</f>
        <v/>
      </c>
      <c r="W316" s="422"/>
    </row>
    <row r="317" spans="1:23" s="427" customFormat="1" x14ac:dyDescent="0.2">
      <c r="A317" s="418"/>
      <c r="B317" s="419" t="str">
        <f>IF($B316="","",IF($B316+1&gt;'Qredits maandlasten'!$C$7,"",Schema!B316+1))</f>
        <v/>
      </c>
      <c r="C317" s="420" t="str">
        <f>IF($B316="","",IF($B316+1&gt;'Qredits maandlasten'!$C$7,"",EOMONTH(C316,0)+1))</f>
        <v/>
      </c>
      <c r="D317" s="418"/>
      <c r="E317" s="420" t="str">
        <f>IF($B316="","",IF($B316+1&gt;'Qredits maandlasten'!$C$7,"",F316+1))</f>
        <v/>
      </c>
      <c r="F317" s="420" t="str">
        <f>IF($B316="","",IF($B316+1&gt;'Qredits maandlasten'!$C$7,"",EOMONTH(C317,-1)))</f>
        <v/>
      </c>
      <c r="G317" s="421" t="str">
        <f>IF($B316="","",IF($B316+1&gt;'Qredits maandlasten'!$C$7,"",(_xlfn.DAYS(F317,E317)+1)/DAY(F317)))</f>
        <v/>
      </c>
      <c r="H317" s="422"/>
      <c r="I317" s="423" t="str">
        <f>IF($B316="","",IF($B316+1&gt;'Qredits maandlasten'!$C$7,"",I316-J316))</f>
        <v/>
      </c>
      <c r="J317" s="423" t="str">
        <f>IF($B316="","",IF($B316+1&gt;'Qredits maandlasten'!$C$7,"",IF(B316&lt;'Investering &amp; Financiering'!$E$52-1,0,IF('Qredits maandlasten'!$C$10="Lineair",'Qredits maandlasten'!$H$4,IF('Qredits maandlasten'!$C$10="Annuïteit",IFERROR('Qredits maandlasten'!$H$4-K317,0),0)))))</f>
        <v/>
      </c>
      <c r="K317" s="423" t="str">
        <f>IF($B316="","",IF($B316+1&gt;'Qredits maandlasten'!$C$7,"",G317*I317*'Qredits maandlasten'!$C$8/12))</f>
        <v/>
      </c>
      <c r="L317" s="423" t="str">
        <f t="shared" si="22"/>
        <v/>
      </c>
      <c r="M317" s="423" t="str">
        <f t="shared" si="20"/>
        <v/>
      </c>
      <c r="N317" s="422"/>
      <c r="O317" s="424" t="str">
        <f>IF($B317="","",'Qredits maandlasten'!$C$8/12)</f>
        <v/>
      </c>
      <c r="P317" s="424" t="str">
        <f>IF($B317="","",'Qredits maandlasten'!$C$8/12*(POWER(1+'Qredits maandlasten'!$C$8/12,$B317-1+1)))</f>
        <v/>
      </c>
      <c r="Q317" s="424" t="str">
        <f t="shared" si="23"/>
        <v/>
      </c>
      <c r="R317" s="422"/>
      <c r="S317" s="423" t="str">
        <f t="shared" si="21"/>
        <v/>
      </c>
      <c r="T317" s="423" t="str">
        <f>IF(S317="","",J317/(POWER(1+'Qredits maandlasten'!$C$8/12,$B317-1+1)))</f>
        <v/>
      </c>
      <c r="U317" s="425" t="str">
        <f t="shared" si="24"/>
        <v/>
      </c>
      <c r="V317" s="423" t="str">
        <f>IF($B317="","",K317/(POWER(1+'Qredits maandlasten'!$C$8/12,$B317-1+1)))</f>
        <v/>
      </c>
      <c r="W317" s="422"/>
    </row>
    <row r="318" spans="1:23" s="427" customFormat="1" x14ac:dyDescent="0.2">
      <c r="A318" s="418"/>
      <c r="B318" s="419" t="str">
        <f>IF($B317="","",IF($B317+1&gt;'Qredits maandlasten'!$C$7,"",Schema!B317+1))</f>
        <v/>
      </c>
      <c r="C318" s="420" t="str">
        <f>IF($B317="","",IF($B317+1&gt;'Qredits maandlasten'!$C$7,"",EOMONTH(C317,0)+1))</f>
        <v/>
      </c>
      <c r="D318" s="418"/>
      <c r="E318" s="420" t="str">
        <f>IF($B317="","",IF($B317+1&gt;'Qredits maandlasten'!$C$7,"",F317+1))</f>
        <v/>
      </c>
      <c r="F318" s="420" t="str">
        <f>IF($B317="","",IF($B317+1&gt;'Qredits maandlasten'!$C$7,"",EOMONTH(C318,-1)))</f>
        <v/>
      </c>
      <c r="G318" s="421" t="str">
        <f>IF($B317="","",IF($B317+1&gt;'Qredits maandlasten'!$C$7,"",(_xlfn.DAYS(F318,E318)+1)/DAY(F318)))</f>
        <v/>
      </c>
      <c r="H318" s="422"/>
      <c r="I318" s="423" t="str">
        <f>IF($B317="","",IF($B317+1&gt;'Qredits maandlasten'!$C$7,"",I317-J317))</f>
        <v/>
      </c>
      <c r="J318" s="423" t="str">
        <f>IF($B317="","",IF($B317+1&gt;'Qredits maandlasten'!$C$7,"",IF(B317&lt;'Investering &amp; Financiering'!$E$52-1,0,IF('Qredits maandlasten'!$C$10="Lineair",'Qredits maandlasten'!$H$4,IF('Qredits maandlasten'!$C$10="Annuïteit",IFERROR('Qredits maandlasten'!$H$4-K318,0),0)))))</f>
        <v/>
      </c>
      <c r="K318" s="423" t="str">
        <f>IF($B317="","",IF($B317+1&gt;'Qredits maandlasten'!$C$7,"",G318*I318*'Qredits maandlasten'!$C$8/12))</f>
        <v/>
      </c>
      <c r="L318" s="423" t="str">
        <f t="shared" si="22"/>
        <v/>
      </c>
      <c r="M318" s="423" t="str">
        <f t="shared" si="20"/>
        <v/>
      </c>
      <c r="N318" s="422"/>
      <c r="O318" s="424" t="str">
        <f>IF($B318="","",'Qredits maandlasten'!$C$8/12)</f>
        <v/>
      </c>
      <c r="P318" s="424" t="str">
        <f>IF($B318="","",'Qredits maandlasten'!$C$8/12*(POWER(1+'Qredits maandlasten'!$C$8/12,$B318-1+1)))</f>
        <v/>
      </c>
      <c r="Q318" s="424" t="str">
        <f t="shared" si="23"/>
        <v/>
      </c>
      <c r="R318" s="422"/>
      <c r="S318" s="423" t="str">
        <f t="shared" si="21"/>
        <v/>
      </c>
      <c r="T318" s="423" t="str">
        <f>IF(S318="","",J318/(POWER(1+'Qredits maandlasten'!$C$8/12,$B318-1+1)))</f>
        <v/>
      </c>
      <c r="U318" s="425" t="str">
        <f t="shared" si="24"/>
        <v/>
      </c>
      <c r="V318" s="423" t="str">
        <f>IF($B318="","",K318/(POWER(1+'Qredits maandlasten'!$C$8/12,$B318-1+1)))</f>
        <v/>
      </c>
      <c r="W318" s="422"/>
    </row>
    <row r="319" spans="1:23" s="427" customFormat="1" x14ac:dyDescent="0.2">
      <c r="A319" s="418"/>
      <c r="B319" s="419" t="str">
        <f>IF($B318="","",IF($B318+1&gt;'Qredits maandlasten'!$C$7,"",Schema!B318+1))</f>
        <v/>
      </c>
      <c r="C319" s="420" t="str">
        <f>IF($B318="","",IF($B318+1&gt;'Qredits maandlasten'!$C$7,"",EOMONTH(C318,0)+1))</f>
        <v/>
      </c>
      <c r="D319" s="418"/>
      <c r="E319" s="420" t="str">
        <f>IF($B318="","",IF($B318+1&gt;'Qredits maandlasten'!$C$7,"",F318+1))</f>
        <v/>
      </c>
      <c r="F319" s="420" t="str">
        <f>IF($B318="","",IF($B318+1&gt;'Qredits maandlasten'!$C$7,"",EOMONTH(C319,-1)))</f>
        <v/>
      </c>
      <c r="G319" s="421" t="str">
        <f>IF($B318="","",IF($B318+1&gt;'Qredits maandlasten'!$C$7,"",(_xlfn.DAYS(F319,E319)+1)/DAY(F319)))</f>
        <v/>
      </c>
      <c r="H319" s="422"/>
      <c r="I319" s="423" t="str">
        <f>IF($B318="","",IF($B318+1&gt;'Qredits maandlasten'!$C$7,"",I318-J318))</f>
        <v/>
      </c>
      <c r="J319" s="423" t="str">
        <f>IF($B318="","",IF($B318+1&gt;'Qredits maandlasten'!$C$7,"",IF(B318&lt;'Investering &amp; Financiering'!$E$52-1,0,IF('Qredits maandlasten'!$C$10="Lineair",'Qredits maandlasten'!$H$4,IF('Qredits maandlasten'!$C$10="Annuïteit",IFERROR('Qredits maandlasten'!$H$4-K319,0),0)))))</f>
        <v/>
      </c>
      <c r="K319" s="423" t="str">
        <f>IF($B318="","",IF($B318+1&gt;'Qredits maandlasten'!$C$7,"",G319*I319*'Qredits maandlasten'!$C$8/12))</f>
        <v/>
      </c>
      <c r="L319" s="423" t="str">
        <f t="shared" si="22"/>
        <v/>
      </c>
      <c r="M319" s="423" t="str">
        <f t="shared" si="20"/>
        <v/>
      </c>
      <c r="N319" s="422"/>
      <c r="O319" s="424" t="str">
        <f>IF($B319="","",'Qredits maandlasten'!$C$8/12)</f>
        <v/>
      </c>
      <c r="P319" s="424" t="str">
        <f>IF($B319="","",'Qredits maandlasten'!$C$8/12*(POWER(1+'Qredits maandlasten'!$C$8/12,$B319-1+1)))</f>
        <v/>
      </c>
      <c r="Q319" s="424" t="str">
        <f t="shared" si="23"/>
        <v/>
      </c>
      <c r="R319" s="422"/>
      <c r="S319" s="423" t="str">
        <f t="shared" si="21"/>
        <v/>
      </c>
      <c r="T319" s="423" t="str">
        <f>IF(S319="","",J319/(POWER(1+'Qredits maandlasten'!$C$8/12,$B319-1+1)))</f>
        <v/>
      </c>
      <c r="U319" s="425" t="str">
        <f t="shared" si="24"/>
        <v/>
      </c>
      <c r="V319" s="423" t="str">
        <f>IF($B319="","",K319/(POWER(1+'Qredits maandlasten'!$C$8/12,$B319-1+1)))</f>
        <v/>
      </c>
      <c r="W319" s="422"/>
    </row>
    <row r="320" spans="1:23" s="427" customFormat="1" x14ac:dyDescent="0.2">
      <c r="A320" s="418"/>
      <c r="B320" s="419" t="str">
        <f>IF($B319="","",IF($B319+1&gt;'Qredits maandlasten'!$C$7,"",Schema!B319+1))</f>
        <v/>
      </c>
      <c r="C320" s="420" t="str">
        <f>IF($B319="","",IF($B319+1&gt;'Qredits maandlasten'!$C$7,"",EOMONTH(C319,0)+1))</f>
        <v/>
      </c>
      <c r="D320" s="418"/>
      <c r="E320" s="420" t="str">
        <f>IF($B319="","",IF($B319+1&gt;'Qredits maandlasten'!$C$7,"",F319+1))</f>
        <v/>
      </c>
      <c r="F320" s="420" t="str">
        <f>IF($B319="","",IF($B319+1&gt;'Qredits maandlasten'!$C$7,"",EOMONTH(C320,-1)))</f>
        <v/>
      </c>
      <c r="G320" s="421" t="str">
        <f>IF($B319="","",IF($B319+1&gt;'Qredits maandlasten'!$C$7,"",(_xlfn.DAYS(F320,E320)+1)/DAY(F320)))</f>
        <v/>
      </c>
      <c r="H320" s="422"/>
      <c r="I320" s="423" t="str">
        <f>IF($B319="","",IF($B319+1&gt;'Qredits maandlasten'!$C$7,"",I319-J319))</f>
        <v/>
      </c>
      <c r="J320" s="423" t="str">
        <f>IF($B319="","",IF($B319+1&gt;'Qredits maandlasten'!$C$7,"",IF(B319&lt;'Investering &amp; Financiering'!$E$52-1,0,IF('Qredits maandlasten'!$C$10="Lineair",'Qredits maandlasten'!$H$4,IF('Qredits maandlasten'!$C$10="Annuïteit",IFERROR('Qredits maandlasten'!$H$4-K320,0),0)))))</f>
        <v/>
      </c>
      <c r="K320" s="423" t="str">
        <f>IF($B319="","",IF($B319+1&gt;'Qredits maandlasten'!$C$7,"",G320*I320*'Qredits maandlasten'!$C$8/12))</f>
        <v/>
      </c>
      <c r="L320" s="423" t="str">
        <f t="shared" si="22"/>
        <v/>
      </c>
      <c r="M320" s="423" t="str">
        <f t="shared" si="20"/>
        <v/>
      </c>
      <c r="N320" s="422"/>
      <c r="O320" s="424" t="str">
        <f>IF($B320="","",'Qredits maandlasten'!$C$8/12)</f>
        <v/>
      </c>
      <c r="P320" s="424" t="str">
        <f>IF($B320="","",'Qredits maandlasten'!$C$8/12*(POWER(1+'Qredits maandlasten'!$C$8/12,$B320-1+1)))</f>
        <v/>
      </c>
      <c r="Q320" s="424" t="str">
        <f t="shared" si="23"/>
        <v/>
      </c>
      <c r="R320" s="422"/>
      <c r="S320" s="423" t="str">
        <f t="shared" si="21"/>
        <v/>
      </c>
      <c r="T320" s="423" t="str">
        <f>IF(S320="","",J320/(POWER(1+'Qredits maandlasten'!$C$8/12,$B320-1+1)))</f>
        <v/>
      </c>
      <c r="U320" s="425" t="str">
        <f t="shared" si="24"/>
        <v/>
      </c>
      <c r="V320" s="423" t="str">
        <f>IF($B320="","",K320/(POWER(1+'Qredits maandlasten'!$C$8/12,$B320-1+1)))</f>
        <v/>
      </c>
      <c r="W320" s="422"/>
    </row>
    <row r="321" spans="1:23" s="427" customFormat="1" x14ac:dyDescent="0.2">
      <c r="A321" s="418"/>
      <c r="B321" s="419" t="str">
        <f>IF($B320="","",IF($B320+1&gt;'Qredits maandlasten'!$C$7,"",Schema!B320+1))</f>
        <v/>
      </c>
      <c r="C321" s="420" t="str">
        <f>IF($B320="","",IF($B320+1&gt;'Qredits maandlasten'!$C$7,"",EOMONTH(C320,0)+1))</f>
        <v/>
      </c>
      <c r="D321" s="418"/>
      <c r="E321" s="420" t="str">
        <f>IF($B320="","",IF($B320+1&gt;'Qredits maandlasten'!$C$7,"",F320+1))</f>
        <v/>
      </c>
      <c r="F321" s="420" t="str">
        <f>IF($B320="","",IF($B320+1&gt;'Qredits maandlasten'!$C$7,"",EOMONTH(C321,-1)))</f>
        <v/>
      </c>
      <c r="G321" s="421" t="str">
        <f>IF($B320="","",IF($B320+1&gt;'Qredits maandlasten'!$C$7,"",(_xlfn.DAYS(F321,E321)+1)/DAY(F321)))</f>
        <v/>
      </c>
      <c r="H321" s="422"/>
      <c r="I321" s="423" t="str">
        <f>IF($B320="","",IF($B320+1&gt;'Qredits maandlasten'!$C$7,"",I320-J320))</f>
        <v/>
      </c>
      <c r="J321" s="423" t="str">
        <f>IF($B320="","",IF($B320+1&gt;'Qredits maandlasten'!$C$7,"",IF(B320&lt;'Investering &amp; Financiering'!$E$52-1,0,IF('Qredits maandlasten'!$C$10="Lineair",'Qredits maandlasten'!$H$4,IF('Qredits maandlasten'!$C$10="Annuïteit",IFERROR('Qredits maandlasten'!$H$4-K321,0),0)))))</f>
        <v/>
      </c>
      <c r="K321" s="423" t="str">
        <f>IF($B320="","",IF($B320+1&gt;'Qredits maandlasten'!$C$7,"",G321*I321*'Qredits maandlasten'!$C$8/12))</f>
        <v/>
      </c>
      <c r="L321" s="423" t="str">
        <f t="shared" si="22"/>
        <v/>
      </c>
      <c r="M321" s="423" t="str">
        <f t="shared" si="20"/>
        <v/>
      </c>
      <c r="N321" s="422"/>
      <c r="O321" s="424" t="str">
        <f>IF($B321="","",'Qredits maandlasten'!$C$8/12)</f>
        <v/>
      </c>
      <c r="P321" s="424" t="str">
        <f>IF($B321="","",'Qredits maandlasten'!$C$8/12*(POWER(1+'Qredits maandlasten'!$C$8/12,$B321-1+1)))</f>
        <v/>
      </c>
      <c r="Q321" s="424" t="str">
        <f t="shared" si="23"/>
        <v/>
      </c>
      <c r="R321" s="422"/>
      <c r="S321" s="423" t="str">
        <f t="shared" si="21"/>
        <v/>
      </c>
      <c r="T321" s="423" t="str">
        <f>IF(S321="","",J321/(POWER(1+'Qredits maandlasten'!$C$8/12,$B321-1+1)))</f>
        <v/>
      </c>
      <c r="U321" s="425" t="str">
        <f t="shared" si="24"/>
        <v/>
      </c>
      <c r="V321" s="423" t="str">
        <f>IF($B321="","",K321/(POWER(1+'Qredits maandlasten'!$C$8/12,$B321-1+1)))</f>
        <v/>
      </c>
      <c r="W321" s="422"/>
    </row>
    <row r="322" spans="1:23" s="427" customFormat="1" x14ac:dyDescent="0.2">
      <c r="A322" s="418"/>
      <c r="B322" s="419" t="str">
        <f>IF($B321="","",IF($B321+1&gt;'Qredits maandlasten'!$C$7,"",Schema!B321+1))</f>
        <v/>
      </c>
      <c r="C322" s="420" t="str">
        <f>IF($B321="","",IF($B321+1&gt;'Qredits maandlasten'!$C$7,"",EOMONTH(C321,0)+1))</f>
        <v/>
      </c>
      <c r="D322" s="418"/>
      <c r="E322" s="420" t="str">
        <f>IF($B321="","",IF($B321+1&gt;'Qredits maandlasten'!$C$7,"",F321+1))</f>
        <v/>
      </c>
      <c r="F322" s="420" t="str">
        <f>IF($B321="","",IF($B321+1&gt;'Qredits maandlasten'!$C$7,"",EOMONTH(C322,-1)))</f>
        <v/>
      </c>
      <c r="G322" s="421" t="str">
        <f>IF($B321="","",IF($B321+1&gt;'Qredits maandlasten'!$C$7,"",(_xlfn.DAYS(F322,E322)+1)/DAY(F322)))</f>
        <v/>
      </c>
      <c r="H322" s="422"/>
      <c r="I322" s="423" t="str">
        <f>IF($B321="","",IF($B321+1&gt;'Qredits maandlasten'!$C$7,"",I321-J321))</f>
        <v/>
      </c>
      <c r="J322" s="423" t="str">
        <f>IF($B321="","",IF($B321+1&gt;'Qredits maandlasten'!$C$7,"",IF(B321&lt;'Investering &amp; Financiering'!$E$52-1,0,IF('Qredits maandlasten'!$C$10="Lineair",'Qredits maandlasten'!$H$4,IF('Qredits maandlasten'!$C$10="Annuïteit",IFERROR('Qredits maandlasten'!$H$4-K322,0),0)))))</f>
        <v/>
      </c>
      <c r="K322" s="423" t="str">
        <f>IF($B321="","",IF($B321+1&gt;'Qredits maandlasten'!$C$7,"",G322*I322*'Qredits maandlasten'!$C$8/12))</f>
        <v/>
      </c>
      <c r="L322" s="423" t="str">
        <f t="shared" si="22"/>
        <v/>
      </c>
      <c r="M322" s="423" t="str">
        <f t="shared" si="20"/>
        <v/>
      </c>
      <c r="N322" s="422"/>
      <c r="O322" s="424" t="str">
        <f>IF($B322="","",'Qredits maandlasten'!$C$8/12)</f>
        <v/>
      </c>
      <c r="P322" s="424" t="str">
        <f>IF($B322="","",'Qredits maandlasten'!$C$8/12*(POWER(1+'Qredits maandlasten'!$C$8/12,$B322-1+1)))</f>
        <v/>
      </c>
      <c r="Q322" s="424" t="str">
        <f t="shared" si="23"/>
        <v/>
      </c>
      <c r="R322" s="422"/>
      <c r="S322" s="423" t="str">
        <f t="shared" si="21"/>
        <v/>
      </c>
      <c r="T322" s="423" t="str">
        <f>IF(S322="","",J322/(POWER(1+'Qredits maandlasten'!$C$8/12,$B322-1+1)))</f>
        <v/>
      </c>
      <c r="U322" s="425" t="str">
        <f t="shared" si="24"/>
        <v/>
      </c>
      <c r="V322" s="423" t="str">
        <f>IF($B322="","",K322/(POWER(1+'Qredits maandlasten'!$C$8/12,$B322-1+1)))</f>
        <v/>
      </c>
      <c r="W322" s="422"/>
    </row>
    <row r="323" spans="1:23" s="427" customFormat="1" x14ac:dyDescent="0.2">
      <c r="A323" s="418"/>
      <c r="B323" s="419" t="str">
        <f>IF($B322="","",IF($B322+1&gt;'Qredits maandlasten'!$C$7,"",Schema!B322+1))</f>
        <v/>
      </c>
      <c r="C323" s="420" t="str">
        <f>IF($B322="","",IF($B322+1&gt;'Qredits maandlasten'!$C$7,"",EOMONTH(C322,0)+1))</f>
        <v/>
      </c>
      <c r="D323" s="418"/>
      <c r="E323" s="420" t="str">
        <f>IF($B322="","",IF($B322+1&gt;'Qredits maandlasten'!$C$7,"",F322+1))</f>
        <v/>
      </c>
      <c r="F323" s="420" t="str">
        <f>IF($B322="","",IF($B322+1&gt;'Qredits maandlasten'!$C$7,"",EOMONTH(C323,-1)))</f>
        <v/>
      </c>
      <c r="G323" s="421" t="str">
        <f>IF($B322="","",IF($B322+1&gt;'Qredits maandlasten'!$C$7,"",(_xlfn.DAYS(F323,E323)+1)/DAY(F323)))</f>
        <v/>
      </c>
      <c r="H323" s="422"/>
      <c r="I323" s="423" t="str">
        <f>IF($B322="","",IF($B322+1&gt;'Qredits maandlasten'!$C$7,"",I322-J322))</f>
        <v/>
      </c>
      <c r="J323" s="423" t="str">
        <f>IF($B322="","",IF($B322+1&gt;'Qredits maandlasten'!$C$7,"",IF(B322&lt;'Investering &amp; Financiering'!$E$52-1,0,IF('Qredits maandlasten'!$C$10="Lineair",'Qredits maandlasten'!$H$4,IF('Qredits maandlasten'!$C$10="Annuïteit",IFERROR('Qredits maandlasten'!$H$4-K323,0),0)))))</f>
        <v/>
      </c>
      <c r="K323" s="423" t="str">
        <f>IF($B322="","",IF($B322+1&gt;'Qredits maandlasten'!$C$7,"",G323*I323*'Qredits maandlasten'!$C$8/12))</f>
        <v/>
      </c>
      <c r="L323" s="423" t="str">
        <f t="shared" si="22"/>
        <v/>
      </c>
      <c r="M323" s="423" t="str">
        <f t="shared" si="20"/>
        <v/>
      </c>
      <c r="N323" s="422"/>
      <c r="O323" s="424" t="str">
        <f>IF($B323="","",'Qredits maandlasten'!$C$8/12)</f>
        <v/>
      </c>
      <c r="P323" s="424" t="str">
        <f>IF($B323="","",'Qredits maandlasten'!$C$8/12*(POWER(1+'Qredits maandlasten'!$C$8/12,$B323-1+1)))</f>
        <v/>
      </c>
      <c r="Q323" s="424" t="str">
        <f t="shared" si="23"/>
        <v/>
      </c>
      <c r="R323" s="422"/>
      <c r="S323" s="423" t="str">
        <f t="shared" si="21"/>
        <v/>
      </c>
      <c r="T323" s="423" t="str">
        <f>IF(S323="","",J323/(POWER(1+'Qredits maandlasten'!$C$8/12,$B323-1+1)))</f>
        <v/>
      </c>
      <c r="U323" s="425" t="str">
        <f t="shared" si="24"/>
        <v/>
      </c>
      <c r="V323" s="423" t="str">
        <f>IF($B323="","",K323/(POWER(1+'Qredits maandlasten'!$C$8/12,$B323-1+1)))</f>
        <v/>
      </c>
      <c r="W323" s="422"/>
    </row>
    <row r="324" spans="1:23" s="427" customFormat="1" x14ac:dyDescent="0.2">
      <c r="A324" s="418"/>
      <c r="B324" s="419" t="str">
        <f>IF($B323="","",IF($B323+1&gt;'Qredits maandlasten'!$C$7,"",Schema!B323+1))</f>
        <v/>
      </c>
      <c r="C324" s="420" t="str">
        <f>IF($B323="","",IF($B323+1&gt;'Qredits maandlasten'!$C$7,"",EOMONTH(C323,0)+1))</f>
        <v/>
      </c>
      <c r="D324" s="418"/>
      <c r="E324" s="420" t="str">
        <f>IF($B323="","",IF($B323+1&gt;'Qredits maandlasten'!$C$7,"",F323+1))</f>
        <v/>
      </c>
      <c r="F324" s="420" t="str">
        <f>IF($B323="","",IF($B323+1&gt;'Qredits maandlasten'!$C$7,"",EOMONTH(C324,-1)))</f>
        <v/>
      </c>
      <c r="G324" s="421" t="str">
        <f>IF($B323="","",IF($B323+1&gt;'Qredits maandlasten'!$C$7,"",(_xlfn.DAYS(F324,E324)+1)/DAY(F324)))</f>
        <v/>
      </c>
      <c r="H324" s="422"/>
      <c r="I324" s="423" t="str">
        <f>IF($B323="","",IF($B323+1&gt;'Qredits maandlasten'!$C$7,"",I323-J323))</f>
        <v/>
      </c>
      <c r="J324" s="423" t="str">
        <f>IF($B323="","",IF($B323+1&gt;'Qredits maandlasten'!$C$7,"",IF(B323&lt;'Investering &amp; Financiering'!$E$52-1,0,IF('Qredits maandlasten'!$C$10="Lineair",'Qredits maandlasten'!$H$4,IF('Qredits maandlasten'!$C$10="Annuïteit",IFERROR('Qredits maandlasten'!$H$4-K324,0),0)))))</f>
        <v/>
      </c>
      <c r="K324" s="423" t="str">
        <f>IF($B323="","",IF($B323+1&gt;'Qredits maandlasten'!$C$7,"",G324*I324*'Qredits maandlasten'!$C$8/12))</f>
        <v/>
      </c>
      <c r="L324" s="423" t="str">
        <f t="shared" si="22"/>
        <v/>
      </c>
      <c r="M324" s="423" t="str">
        <f t="shared" si="20"/>
        <v/>
      </c>
      <c r="N324" s="422"/>
      <c r="O324" s="424" t="str">
        <f>IF($B324="","",'Qredits maandlasten'!$C$8/12)</f>
        <v/>
      </c>
      <c r="P324" s="424" t="str">
        <f>IF($B324="","",'Qredits maandlasten'!$C$8/12*(POWER(1+'Qredits maandlasten'!$C$8/12,$B324-1+1)))</f>
        <v/>
      </c>
      <c r="Q324" s="424" t="str">
        <f t="shared" si="23"/>
        <v/>
      </c>
      <c r="R324" s="422"/>
      <c r="S324" s="423" t="str">
        <f t="shared" si="21"/>
        <v/>
      </c>
      <c r="T324" s="423" t="str">
        <f>IF(S324="","",J324/(POWER(1+'Qredits maandlasten'!$C$8/12,$B324-1+1)))</f>
        <v/>
      </c>
      <c r="U324" s="425" t="str">
        <f t="shared" si="24"/>
        <v/>
      </c>
      <c r="V324" s="423" t="str">
        <f>IF($B324="","",K324/(POWER(1+'Qredits maandlasten'!$C$8/12,$B324-1+1)))</f>
        <v/>
      </c>
      <c r="W324" s="422"/>
    </row>
    <row r="325" spans="1:23" s="427" customFormat="1" x14ac:dyDescent="0.2">
      <c r="A325" s="418"/>
      <c r="B325" s="419" t="str">
        <f>IF($B324="","",IF($B324+1&gt;'Qredits maandlasten'!$C$7,"",Schema!B324+1))</f>
        <v/>
      </c>
      <c r="C325" s="420" t="str">
        <f>IF($B324="","",IF($B324+1&gt;'Qredits maandlasten'!$C$7,"",EOMONTH(C324,0)+1))</f>
        <v/>
      </c>
      <c r="D325" s="418"/>
      <c r="E325" s="420" t="str">
        <f>IF($B324="","",IF($B324+1&gt;'Qredits maandlasten'!$C$7,"",F324+1))</f>
        <v/>
      </c>
      <c r="F325" s="420" t="str">
        <f>IF($B324="","",IF($B324+1&gt;'Qredits maandlasten'!$C$7,"",EOMONTH(C325,-1)))</f>
        <v/>
      </c>
      <c r="G325" s="421" t="str">
        <f>IF($B324="","",IF($B324+1&gt;'Qredits maandlasten'!$C$7,"",(_xlfn.DAYS(F325,E325)+1)/DAY(F325)))</f>
        <v/>
      </c>
      <c r="H325" s="422"/>
      <c r="I325" s="423" t="str">
        <f>IF($B324="","",IF($B324+1&gt;'Qredits maandlasten'!$C$7,"",I324-J324))</f>
        <v/>
      </c>
      <c r="J325" s="423" t="str">
        <f>IF($B324="","",IF($B324+1&gt;'Qredits maandlasten'!$C$7,"",IF(B324&lt;'Investering &amp; Financiering'!$E$52-1,0,IF('Qredits maandlasten'!$C$10="Lineair",'Qredits maandlasten'!$H$4,IF('Qredits maandlasten'!$C$10="Annuïteit",IFERROR('Qredits maandlasten'!$H$4-K325,0),0)))))</f>
        <v/>
      </c>
      <c r="K325" s="423" t="str">
        <f>IF($B324="","",IF($B324+1&gt;'Qredits maandlasten'!$C$7,"",G325*I325*'Qredits maandlasten'!$C$8/12))</f>
        <v/>
      </c>
      <c r="L325" s="423" t="str">
        <f t="shared" si="22"/>
        <v/>
      </c>
      <c r="M325" s="423" t="str">
        <f t="shared" si="20"/>
        <v/>
      </c>
      <c r="N325" s="422"/>
      <c r="O325" s="424" t="str">
        <f>IF($B325="","",'Qredits maandlasten'!$C$8/12)</f>
        <v/>
      </c>
      <c r="P325" s="424" t="str">
        <f>IF($B325="","",'Qredits maandlasten'!$C$8/12*(POWER(1+'Qredits maandlasten'!$C$8/12,$B325-1+1)))</f>
        <v/>
      </c>
      <c r="Q325" s="424" t="str">
        <f t="shared" si="23"/>
        <v/>
      </c>
      <c r="R325" s="422"/>
      <c r="S325" s="423" t="str">
        <f t="shared" si="21"/>
        <v/>
      </c>
      <c r="T325" s="423" t="str">
        <f>IF(S325="","",J325/(POWER(1+'Qredits maandlasten'!$C$8/12,$B325-1+1)))</f>
        <v/>
      </c>
      <c r="U325" s="425" t="str">
        <f t="shared" si="24"/>
        <v/>
      </c>
      <c r="V325" s="423" t="str">
        <f>IF($B325="","",K325/(POWER(1+'Qredits maandlasten'!$C$8/12,$B325-1+1)))</f>
        <v/>
      </c>
      <c r="W325" s="422"/>
    </row>
    <row r="326" spans="1:23" s="427" customFormat="1" x14ac:dyDescent="0.2">
      <c r="A326" s="418"/>
      <c r="B326" s="419" t="str">
        <f>IF($B325="","",IF($B325+1&gt;'Qredits maandlasten'!$C$7,"",Schema!B325+1))</f>
        <v/>
      </c>
      <c r="C326" s="420" t="str">
        <f>IF($B325="","",IF($B325+1&gt;'Qredits maandlasten'!$C$7,"",EOMONTH(C325,0)+1))</f>
        <v/>
      </c>
      <c r="D326" s="418"/>
      <c r="E326" s="420" t="str">
        <f>IF($B325="","",IF($B325+1&gt;'Qredits maandlasten'!$C$7,"",F325+1))</f>
        <v/>
      </c>
      <c r="F326" s="420" t="str">
        <f>IF($B325="","",IF($B325+1&gt;'Qredits maandlasten'!$C$7,"",EOMONTH(C326,-1)))</f>
        <v/>
      </c>
      <c r="G326" s="421" t="str">
        <f>IF($B325="","",IF($B325+1&gt;'Qredits maandlasten'!$C$7,"",(_xlfn.DAYS(F326,E326)+1)/DAY(F326)))</f>
        <v/>
      </c>
      <c r="H326" s="422"/>
      <c r="I326" s="423" t="str">
        <f>IF($B325="","",IF($B325+1&gt;'Qredits maandlasten'!$C$7,"",I325-J325))</f>
        <v/>
      </c>
      <c r="J326" s="423" t="str">
        <f>IF($B325="","",IF($B325+1&gt;'Qredits maandlasten'!$C$7,"",IF(B325&lt;'Investering &amp; Financiering'!$E$52-1,0,IF('Qredits maandlasten'!$C$10="Lineair",'Qredits maandlasten'!$H$4,IF('Qredits maandlasten'!$C$10="Annuïteit",IFERROR('Qredits maandlasten'!$H$4-K326,0),0)))))</f>
        <v/>
      </c>
      <c r="K326" s="423" t="str">
        <f>IF($B325="","",IF($B325+1&gt;'Qredits maandlasten'!$C$7,"",G326*I326*'Qredits maandlasten'!$C$8/12))</f>
        <v/>
      </c>
      <c r="L326" s="423" t="str">
        <f t="shared" si="22"/>
        <v/>
      </c>
      <c r="M326" s="423" t="str">
        <f t="shared" si="20"/>
        <v/>
      </c>
      <c r="N326" s="422"/>
      <c r="O326" s="424" t="str">
        <f>IF($B326="","",'Qredits maandlasten'!$C$8/12)</f>
        <v/>
      </c>
      <c r="P326" s="424" t="str">
        <f>IF($B326="","",'Qredits maandlasten'!$C$8/12*(POWER(1+'Qredits maandlasten'!$C$8/12,$B326-1+1)))</f>
        <v/>
      </c>
      <c r="Q326" s="424" t="str">
        <f t="shared" si="23"/>
        <v/>
      </c>
      <c r="R326" s="422"/>
      <c r="S326" s="423" t="str">
        <f t="shared" si="21"/>
        <v/>
      </c>
      <c r="T326" s="423" t="str">
        <f>IF(S326="","",J326/(POWER(1+'Qredits maandlasten'!$C$8/12,$B326-1+1)))</f>
        <v/>
      </c>
      <c r="U326" s="425" t="str">
        <f t="shared" si="24"/>
        <v/>
      </c>
      <c r="V326" s="423" t="str">
        <f>IF($B326="","",K326/(POWER(1+'Qredits maandlasten'!$C$8/12,$B326-1+1)))</f>
        <v/>
      </c>
      <c r="W326" s="422"/>
    </row>
    <row r="327" spans="1:23" s="427" customFormat="1" x14ac:dyDescent="0.2">
      <c r="A327" s="418"/>
      <c r="B327" s="419" t="str">
        <f>IF($B326="","",IF($B326+1&gt;'Qredits maandlasten'!$C$7,"",Schema!B326+1))</f>
        <v/>
      </c>
      <c r="C327" s="420" t="str">
        <f>IF($B326="","",IF($B326+1&gt;'Qredits maandlasten'!$C$7,"",EOMONTH(C326,0)+1))</f>
        <v/>
      </c>
      <c r="D327" s="418"/>
      <c r="E327" s="420" t="str">
        <f>IF($B326="","",IF($B326+1&gt;'Qredits maandlasten'!$C$7,"",F326+1))</f>
        <v/>
      </c>
      <c r="F327" s="420" t="str">
        <f>IF($B326="","",IF($B326+1&gt;'Qredits maandlasten'!$C$7,"",EOMONTH(C327,-1)))</f>
        <v/>
      </c>
      <c r="G327" s="421" t="str">
        <f>IF($B326="","",IF($B326+1&gt;'Qredits maandlasten'!$C$7,"",(_xlfn.DAYS(F327,E327)+1)/DAY(F327)))</f>
        <v/>
      </c>
      <c r="H327" s="422"/>
      <c r="I327" s="423" t="str">
        <f>IF($B326="","",IF($B326+1&gt;'Qredits maandlasten'!$C$7,"",I326-J326))</f>
        <v/>
      </c>
      <c r="J327" s="423" t="str">
        <f>IF($B326="","",IF($B326+1&gt;'Qredits maandlasten'!$C$7,"",IF(B326&lt;'Investering &amp; Financiering'!$E$52-1,0,IF('Qredits maandlasten'!$C$10="Lineair",'Qredits maandlasten'!$H$4,IF('Qredits maandlasten'!$C$10="Annuïteit",IFERROR('Qredits maandlasten'!$H$4-K327,0),0)))))</f>
        <v/>
      </c>
      <c r="K327" s="423" t="str">
        <f>IF($B326="","",IF($B326+1&gt;'Qredits maandlasten'!$C$7,"",G327*I327*'Qredits maandlasten'!$C$8/12))</f>
        <v/>
      </c>
      <c r="L327" s="423" t="str">
        <f t="shared" si="22"/>
        <v/>
      </c>
      <c r="M327" s="423" t="str">
        <f t="shared" si="20"/>
        <v/>
      </c>
      <c r="N327" s="422"/>
      <c r="O327" s="424" t="str">
        <f>IF($B327="","",'Qredits maandlasten'!$C$8/12)</f>
        <v/>
      </c>
      <c r="P327" s="424" t="str">
        <f>IF($B327="","",'Qredits maandlasten'!$C$8/12*(POWER(1+'Qredits maandlasten'!$C$8/12,$B327-1+1)))</f>
        <v/>
      </c>
      <c r="Q327" s="424" t="str">
        <f t="shared" si="23"/>
        <v/>
      </c>
      <c r="R327" s="422"/>
      <c r="S327" s="423" t="str">
        <f t="shared" si="21"/>
        <v/>
      </c>
      <c r="T327" s="423" t="str">
        <f>IF(S327="","",J327/(POWER(1+'Qredits maandlasten'!$C$8/12,$B327-1+1)))</f>
        <v/>
      </c>
      <c r="U327" s="425" t="str">
        <f t="shared" si="24"/>
        <v/>
      </c>
      <c r="V327" s="423" t="str">
        <f>IF($B327="","",K327/(POWER(1+'Qredits maandlasten'!$C$8/12,$B327-1+1)))</f>
        <v/>
      </c>
      <c r="W327" s="422"/>
    </row>
    <row r="328" spans="1:23" s="427" customFormat="1" x14ac:dyDescent="0.2">
      <c r="A328" s="418"/>
      <c r="B328" s="419" t="str">
        <f>IF($B327="","",IF($B327+1&gt;'Qredits maandlasten'!$C$7,"",Schema!B327+1))</f>
        <v/>
      </c>
      <c r="C328" s="420" t="str">
        <f>IF($B327="","",IF($B327+1&gt;'Qredits maandlasten'!$C$7,"",EOMONTH(C327,0)+1))</f>
        <v/>
      </c>
      <c r="D328" s="418"/>
      <c r="E328" s="420" t="str">
        <f>IF($B327="","",IF($B327+1&gt;'Qredits maandlasten'!$C$7,"",F327+1))</f>
        <v/>
      </c>
      <c r="F328" s="420" t="str">
        <f>IF($B327="","",IF($B327+1&gt;'Qredits maandlasten'!$C$7,"",EOMONTH(C328,-1)))</f>
        <v/>
      </c>
      <c r="G328" s="421" t="str">
        <f>IF($B327="","",IF($B327+1&gt;'Qredits maandlasten'!$C$7,"",(_xlfn.DAYS(F328,E328)+1)/DAY(F328)))</f>
        <v/>
      </c>
      <c r="H328" s="422"/>
      <c r="I328" s="423" t="str">
        <f>IF($B327="","",IF($B327+1&gt;'Qredits maandlasten'!$C$7,"",I327-J327))</f>
        <v/>
      </c>
      <c r="J328" s="423" t="str">
        <f>IF($B327="","",IF($B327+1&gt;'Qredits maandlasten'!$C$7,"",IF(B327&lt;'Investering &amp; Financiering'!$E$52-1,0,IF('Qredits maandlasten'!$C$10="Lineair",'Qredits maandlasten'!$H$4,IF('Qredits maandlasten'!$C$10="Annuïteit",IFERROR('Qredits maandlasten'!$H$4-K328,0),0)))))</f>
        <v/>
      </c>
      <c r="K328" s="423" t="str">
        <f>IF($B327="","",IF($B327+1&gt;'Qredits maandlasten'!$C$7,"",G328*I328*'Qredits maandlasten'!$C$8/12))</f>
        <v/>
      </c>
      <c r="L328" s="423" t="str">
        <f t="shared" si="22"/>
        <v/>
      </c>
      <c r="M328" s="423" t="str">
        <f t="shared" si="20"/>
        <v/>
      </c>
      <c r="N328" s="422"/>
      <c r="O328" s="424" t="str">
        <f>IF($B328="","",'Qredits maandlasten'!$C$8/12)</f>
        <v/>
      </c>
      <c r="P328" s="424" t="str">
        <f>IF($B328="","",'Qredits maandlasten'!$C$8/12*(POWER(1+'Qredits maandlasten'!$C$8/12,$B328-1+1)))</f>
        <v/>
      </c>
      <c r="Q328" s="424" t="str">
        <f t="shared" si="23"/>
        <v/>
      </c>
      <c r="R328" s="422"/>
      <c r="S328" s="423" t="str">
        <f t="shared" si="21"/>
        <v/>
      </c>
      <c r="T328" s="423" t="str">
        <f>IF(S328="","",J328/(POWER(1+'Qredits maandlasten'!$C$8/12,$B328-1+1)))</f>
        <v/>
      </c>
      <c r="U328" s="425" t="str">
        <f t="shared" si="24"/>
        <v/>
      </c>
      <c r="V328" s="423" t="str">
        <f>IF($B328="","",K328/(POWER(1+'Qredits maandlasten'!$C$8/12,$B328-1+1)))</f>
        <v/>
      </c>
      <c r="W328" s="422"/>
    </row>
    <row r="329" spans="1:23" s="427" customFormat="1" x14ac:dyDescent="0.2">
      <c r="A329" s="418"/>
      <c r="B329" s="419" t="str">
        <f>IF($B328="","",IF($B328+1&gt;'Qredits maandlasten'!$C$7,"",Schema!B328+1))</f>
        <v/>
      </c>
      <c r="C329" s="420" t="str">
        <f>IF($B328="","",IF($B328+1&gt;'Qredits maandlasten'!$C$7,"",EOMONTH(C328,0)+1))</f>
        <v/>
      </c>
      <c r="D329" s="418"/>
      <c r="E329" s="420" t="str">
        <f>IF($B328="","",IF($B328+1&gt;'Qredits maandlasten'!$C$7,"",F328+1))</f>
        <v/>
      </c>
      <c r="F329" s="420" t="str">
        <f>IF($B328="","",IF($B328+1&gt;'Qredits maandlasten'!$C$7,"",EOMONTH(C329,-1)))</f>
        <v/>
      </c>
      <c r="G329" s="421" t="str">
        <f>IF($B328="","",IF($B328+1&gt;'Qredits maandlasten'!$C$7,"",(_xlfn.DAYS(F329,E329)+1)/DAY(F329)))</f>
        <v/>
      </c>
      <c r="H329" s="422"/>
      <c r="I329" s="423" t="str">
        <f>IF($B328="","",IF($B328+1&gt;'Qredits maandlasten'!$C$7,"",I328-J328))</f>
        <v/>
      </c>
      <c r="J329" s="423" t="str">
        <f>IF($B328="","",IF($B328+1&gt;'Qredits maandlasten'!$C$7,"",IF(B328&lt;'Investering &amp; Financiering'!$E$52-1,0,IF('Qredits maandlasten'!$C$10="Lineair",'Qredits maandlasten'!$H$4,IF('Qredits maandlasten'!$C$10="Annuïteit",IFERROR('Qredits maandlasten'!$H$4-K329,0),0)))))</f>
        <v/>
      </c>
      <c r="K329" s="423" t="str">
        <f>IF($B328="","",IF($B328+1&gt;'Qredits maandlasten'!$C$7,"",G329*I329*'Qredits maandlasten'!$C$8/12))</f>
        <v/>
      </c>
      <c r="L329" s="423" t="str">
        <f t="shared" si="22"/>
        <v/>
      </c>
      <c r="M329" s="423" t="str">
        <f t="shared" si="20"/>
        <v/>
      </c>
      <c r="N329" s="422"/>
      <c r="O329" s="424" t="str">
        <f>IF($B329="","",'Qredits maandlasten'!$C$8/12)</f>
        <v/>
      </c>
      <c r="P329" s="424" t="str">
        <f>IF($B329="","",'Qredits maandlasten'!$C$8/12*(POWER(1+'Qredits maandlasten'!$C$8/12,$B329-1+1)))</f>
        <v/>
      </c>
      <c r="Q329" s="424" t="str">
        <f t="shared" si="23"/>
        <v/>
      </c>
      <c r="R329" s="422"/>
      <c r="S329" s="423" t="str">
        <f t="shared" si="21"/>
        <v/>
      </c>
      <c r="T329" s="423" t="str">
        <f>IF(S329="","",J329/(POWER(1+'Qredits maandlasten'!$C$8/12,$B329-1+1)))</f>
        <v/>
      </c>
      <c r="U329" s="425" t="str">
        <f t="shared" si="24"/>
        <v/>
      </c>
      <c r="V329" s="423" t="str">
        <f>IF($B329="","",K329/(POWER(1+'Qredits maandlasten'!$C$8/12,$B329-1+1)))</f>
        <v/>
      </c>
      <c r="W329" s="422"/>
    </row>
    <row r="330" spans="1:23" s="427" customFormat="1" x14ac:dyDescent="0.2">
      <c r="A330" s="418"/>
      <c r="B330" s="419" t="str">
        <f>IF($B329="","",IF($B329+1&gt;'Qredits maandlasten'!$C$7,"",Schema!B329+1))</f>
        <v/>
      </c>
      <c r="C330" s="420" t="str">
        <f>IF($B329="","",IF($B329+1&gt;'Qredits maandlasten'!$C$7,"",EOMONTH(C329,0)+1))</f>
        <v/>
      </c>
      <c r="D330" s="418"/>
      <c r="E330" s="420" t="str">
        <f>IF($B329="","",IF($B329+1&gt;'Qredits maandlasten'!$C$7,"",F329+1))</f>
        <v/>
      </c>
      <c r="F330" s="420" t="str">
        <f>IF($B329="","",IF($B329+1&gt;'Qredits maandlasten'!$C$7,"",EOMONTH(C330,-1)))</f>
        <v/>
      </c>
      <c r="G330" s="421" t="str">
        <f>IF($B329="","",IF($B329+1&gt;'Qredits maandlasten'!$C$7,"",(_xlfn.DAYS(F330,E330)+1)/DAY(F330)))</f>
        <v/>
      </c>
      <c r="H330" s="422"/>
      <c r="I330" s="423" t="str">
        <f>IF($B329="","",IF($B329+1&gt;'Qredits maandlasten'!$C$7,"",I329-J329))</f>
        <v/>
      </c>
      <c r="J330" s="423" t="str">
        <f>IF($B329="","",IF($B329+1&gt;'Qredits maandlasten'!$C$7,"",IF(B329&lt;'Investering &amp; Financiering'!$E$52-1,0,IF('Qredits maandlasten'!$C$10="Lineair",'Qredits maandlasten'!$H$4,IF('Qredits maandlasten'!$C$10="Annuïteit",IFERROR('Qredits maandlasten'!$H$4-K330,0),0)))))</f>
        <v/>
      </c>
      <c r="K330" s="423" t="str">
        <f>IF($B329="","",IF($B329+1&gt;'Qredits maandlasten'!$C$7,"",G330*I330*'Qredits maandlasten'!$C$8/12))</f>
        <v/>
      </c>
      <c r="L330" s="423" t="str">
        <f t="shared" si="22"/>
        <v/>
      </c>
      <c r="M330" s="423" t="str">
        <f t="shared" ref="M330:M369" si="25">IF(S330="","",-K330-J330)</f>
        <v/>
      </c>
      <c r="N330" s="422"/>
      <c r="O330" s="424" t="str">
        <f>IF($B330="","",'Qredits maandlasten'!$C$8/12)</f>
        <v/>
      </c>
      <c r="P330" s="424" t="str">
        <f>IF($B330="","",'Qredits maandlasten'!$C$8/12*(POWER(1+'Qredits maandlasten'!$C$8/12,$B330-1+1)))</f>
        <v/>
      </c>
      <c r="Q330" s="424" t="str">
        <f t="shared" si="23"/>
        <v/>
      </c>
      <c r="R330" s="422"/>
      <c r="S330" s="423" t="str">
        <f t="shared" ref="S330:S369" si="26">IF(B330="","",IF(S329-T329&lt;0,"",S329-T329))</f>
        <v/>
      </c>
      <c r="T330" s="423" t="str">
        <f>IF(S330="","",J330/(POWER(1+'Qredits maandlasten'!$C$8/12,$B330-1+1)))</f>
        <v/>
      </c>
      <c r="U330" s="425" t="str">
        <f t="shared" si="24"/>
        <v/>
      </c>
      <c r="V330" s="423" t="str">
        <f>IF($B330="","",K330/(POWER(1+'Qredits maandlasten'!$C$8/12,$B330-1+1)))</f>
        <v/>
      </c>
      <c r="W330" s="422"/>
    </row>
    <row r="331" spans="1:23" s="427" customFormat="1" x14ac:dyDescent="0.2">
      <c r="A331" s="418"/>
      <c r="B331" s="419" t="str">
        <f>IF($B330="","",IF($B330+1&gt;'Qredits maandlasten'!$C$7,"",Schema!B330+1))</f>
        <v/>
      </c>
      <c r="C331" s="420" t="str">
        <f>IF($B330="","",IF($B330+1&gt;'Qredits maandlasten'!$C$7,"",EOMONTH(C330,0)+1))</f>
        <v/>
      </c>
      <c r="D331" s="418"/>
      <c r="E331" s="420" t="str">
        <f>IF($B330="","",IF($B330+1&gt;'Qredits maandlasten'!$C$7,"",F330+1))</f>
        <v/>
      </c>
      <c r="F331" s="420" t="str">
        <f>IF($B330="","",IF($B330+1&gt;'Qredits maandlasten'!$C$7,"",EOMONTH(C331,-1)))</f>
        <v/>
      </c>
      <c r="G331" s="421" t="str">
        <f>IF($B330="","",IF($B330+1&gt;'Qredits maandlasten'!$C$7,"",(_xlfn.DAYS(F331,E331)+1)/DAY(F331)))</f>
        <v/>
      </c>
      <c r="H331" s="422"/>
      <c r="I331" s="423" t="str">
        <f>IF($B330="","",IF($B330+1&gt;'Qredits maandlasten'!$C$7,"",I330-J330))</f>
        <v/>
      </c>
      <c r="J331" s="423" t="str">
        <f>IF($B330="","",IF($B330+1&gt;'Qredits maandlasten'!$C$7,"",IF(B330&lt;'Investering &amp; Financiering'!$E$52-1,0,IF('Qredits maandlasten'!$C$10="Lineair",'Qredits maandlasten'!$H$4,IF('Qredits maandlasten'!$C$10="Annuïteit",IFERROR('Qredits maandlasten'!$H$4-K331,0),0)))))</f>
        <v/>
      </c>
      <c r="K331" s="423" t="str">
        <f>IF($B330="","",IF($B330+1&gt;'Qredits maandlasten'!$C$7,"",G331*I331*'Qredits maandlasten'!$C$8/12))</f>
        <v/>
      </c>
      <c r="L331" s="423" t="str">
        <f t="shared" ref="L331:L369" si="27">IF(S331="","",-K331-J331)</f>
        <v/>
      </c>
      <c r="M331" s="423" t="str">
        <f t="shared" si="25"/>
        <v/>
      </c>
      <c r="N331" s="422"/>
      <c r="O331" s="424" t="str">
        <f>IF($B331="","",'Qredits maandlasten'!$C$8/12)</f>
        <v/>
      </c>
      <c r="P331" s="424" t="str">
        <f>IF($B331="","",'Qredits maandlasten'!$C$8/12*(POWER(1+'Qredits maandlasten'!$C$8/12,$B331-1+1)))</f>
        <v/>
      </c>
      <c r="Q331" s="424" t="str">
        <f t="shared" ref="Q331:Q369" si="28">IF($B331="","",IFERROR(J331/T331-1,0))</f>
        <v/>
      </c>
      <c r="R331" s="422"/>
      <c r="S331" s="423" t="str">
        <f t="shared" si="26"/>
        <v/>
      </c>
      <c r="T331" s="423" t="str">
        <f>IF(S331="","",J331/(POWER(1+'Qredits maandlasten'!$C$8/12,$B331-1+1)))</f>
        <v/>
      </c>
      <c r="U331" s="425" t="str">
        <f t="shared" ref="U331:U369" si="29">IF(S331="","",T331+V331)</f>
        <v/>
      </c>
      <c r="V331" s="423" t="str">
        <f>IF($B331="","",K331/(POWER(1+'Qredits maandlasten'!$C$8/12,$B331-1+1)))</f>
        <v/>
      </c>
      <c r="W331" s="422"/>
    </row>
    <row r="332" spans="1:23" s="427" customFormat="1" x14ac:dyDescent="0.2">
      <c r="A332" s="418"/>
      <c r="B332" s="419" t="str">
        <f>IF($B331="","",IF($B331+1&gt;'Qredits maandlasten'!$C$7,"",Schema!B331+1))</f>
        <v/>
      </c>
      <c r="C332" s="420" t="str">
        <f>IF($B331="","",IF($B331+1&gt;'Qredits maandlasten'!$C$7,"",EOMONTH(C331,0)+1))</f>
        <v/>
      </c>
      <c r="D332" s="418"/>
      <c r="E332" s="420" t="str">
        <f>IF($B331="","",IF($B331+1&gt;'Qredits maandlasten'!$C$7,"",F331+1))</f>
        <v/>
      </c>
      <c r="F332" s="420" t="str">
        <f>IF($B331="","",IF($B331+1&gt;'Qredits maandlasten'!$C$7,"",EOMONTH(C332,-1)))</f>
        <v/>
      </c>
      <c r="G332" s="421" t="str">
        <f>IF($B331="","",IF($B331+1&gt;'Qredits maandlasten'!$C$7,"",(_xlfn.DAYS(F332,E332)+1)/DAY(F332)))</f>
        <v/>
      </c>
      <c r="H332" s="422"/>
      <c r="I332" s="423" t="str">
        <f>IF($B331="","",IF($B331+1&gt;'Qredits maandlasten'!$C$7,"",I331-J331))</f>
        <v/>
      </c>
      <c r="J332" s="423" t="str">
        <f>IF($B331="","",IF($B331+1&gt;'Qredits maandlasten'!$C$7,"",IF(B331&lt;'Investering &amp; Financiering'!$E$52-1,0,IF('Qredits maandlasten'!$C$10="Lineair",'Qredits maandlasten'!$H$4,IF('Qredits maandlasten'!$C$10="Annuïteit",IFERROR('Qredits maandlasten'!$H$4-K332,0),0)))))</f>
        <v/>
      </c>
      <c r="K332" s="423" t="str">
        <f>IF($B331="","",IF($B331+1&gt;'Qredits maandlasten'!$C$7,"",G332*I332*'Qredits maandlasten'!$C$8/12))</f>
        <v/>
      </c>
      <c r="L332" s="423" t="str">
        <f t="shared" si="27"/>
        <v/>
      </c>
      <c r="M332" s="423" t="str">
        <f t="shared" si="25"/>
        <v/>
      </c>
      <c r="N332" s="422"/>
      <c r="O332" s="424" t="str">
        <f>IF($B332="","",'Qredits maandlasten'!$C$8/12)</f>
        <v/>
      </c>
      <c r="P332" s="424" t="str">
        <f>IF($B332="","",'Qredits maandlasten'!$C$8/12*(POWER(1+'Qredits maandlasten'!$C$8/12,$B332-1+1)))</f>
        <v/>
      </c>
      <c r="Q332" s="424" t="str">
        <f t="shared" si="28"/>
        <v/>
      </c>
      <c r="R332" s="422"/>
      <c r="S332" s="423" t="str">
        <f t="shared" si="26"/>
        <v/>
      </c>
      <c r="T332" s="423" t="str">
        <f>IF(S332="","",J332/(POWER(1+'Qredits maandlasten'!$C$8/12,$B332-1+1)))</f>
        <v/>
      </c>
      <c r="U332" s="425" t="str">
        <f t="shared" si="29"/>
        <v/>
      </c>
      <c r="V332" s="423" t="str">
        <f>IF($B332="","",K332/(POWER(1+'Qredits maandlasten'!$C$8/12,$B332-1+1)))</f>
        <v/>
      </c>
      <c r="W332" s="422"/>
    </row>
    <row r="333" spans="1:23" s="427" customFormat="1" x14ac:dyDescent="0.2">
      <c r="A333" s="418"/>
      <c r="B333" s="419" t="str">
        <f>IF($B332="","",IF($B332+1&gt;'Qredits maandlasten'!$C$7,"",Schema!B332+1))</f>
        <v/>
      </c>
      <c r="C333" s="420" t="str">
        <f>IF($B332="","",IF($B332+1&gt;'Qredits maandlasten'!$C$7,"",EOMONTH(C332,0)+1))</f>
        <v/>
      </c>
      <c r="D333" s="418"/>
      <c r="E333" s="420" t="str">
        <f>IF($B332="","",IF($B332+1&gt;'Qredits maandlasten'!$C$7,"",F332+1))</f>
        <v/>
      </c>
      <c r="F333" s="420" t="str">
        <f>IF($B332="","",IF($B332+1&gt;'Qredits maandlasten'!$C$7,"",EOMONTH(C333,-1)))</f>
        <v/>
      </c>
      <c r="G333" s="421" t="str">
        <f>IF($B332="","",IF($B332+1&gt;'Qredits maandlasten'!$C$7,"",(_xlfn.DAYS(F333,E333)+1)/DAY(F333)))</f>
        <v/>
      </c>
      <c r="H333" s="422"/>
      <c r="I333" s="423" t="str">
        <f>IF($B332="","",IF($B332+1&gt;'Qredits maandlasten'!$C$7,"",I332-J332))</f>
        <v/>
      </c>
      <c r="J333" s="423" t="str">
        <f>IF($B332="","",IF($B332+1&gt;'Qredits maandlasten'!$C$7,"",IF(B332&lt;'Investering &amp; Financiering'!$E$52-1,0,IF('Qredits maandlasten'!$C$10="Lineair",'Qredits maandlasten'!$H$4,IF('Qredits maandlasten'!$C$10="Annuïteit",IFERROR('Qredits maandlasten'!$H$4-K333,0),0)))))</f>
        <v/>
      </c>
      <c r="K333" s="423" t="str">
        <f>IF($B332="","",IF($B332+1&gt;'Qredits maandlasten'!$C$7,"",G333*I333*'Qredits maandlasten'!$C$8/12))</f>
        <v/>
      </c>
      <c r="L333" s="423" t="str">
        <f t="shared" si="27"/>
        <v/>
      </c>
      <c r="M333" s="423" t="str">
        <f t="shared" si="25"/>
        <v/>
      </c>
      <c r="N333" s="422"/>
      <c r="O333" s="424" t="str">
        <f>IF($B333="","",'Qredits maandlasten'!$C$8/12)</f>
        <v/>
      </c>
      <c r="P333" s="424" t="str">
        <f>IF($B333="","",'Qredits maandlasten'!$C$8/12*(POWER(1+'Qredits maandlasten'!$C$8/12,$B333-1+1)))</f>
        <v/>
      </c>
      <c r="Q333" s="424" t="str">
        <f t="shared" si="28"/>
        <v/>
      </c>
      <c r="R333" s="422"/>
      <c r="S333" s="423" t="str">
        <f t="shared" si="26"/>
        <v/>
      </c>
      <c r="T333" s="423" t="str">
        <f>IF(S333="","",J333/(POWER(1+'Qredits maandlasten'!$C$8/12,$B333-1+1)))</f>
        <v/>
      </c>
      <c r="U333" s="425" t="str">
        <f t="shared" si="29"/>
        <v/>
      </c>
      <c r="V333" s="423" t="str">
        <f>IF($B333="","",K333/(POWER(1+'Qredits maandlasten'!$C$8/12,$B333-1+1)))</f>
        <v/>
      </c>
      <c r="W333" s="422"/>
    </row>
    <row r="334" spans="1:23" s="427" customFormat="1" x14ac:dyDescent="0.2">
      <c r="A334" s="418"/>
      <c r="B334" s="419" t="str">
        <f>IF($B333="","",IF($B333+1&gt;'Qredits maandlasten'!$C$7,"",Schema!B333+1))</f>
        <v/>
      </c>
      <c r="C334" s="420" t="str">
        <f>IF($B333="","",IF($B333+1&gt;'Qredits maandlasten'!$C$7,"",EOMONTH(C333,0)+1))</f>
        <v/>
      </c>
      <c r="D334" s="418"/>
      <c r="E334" s="420" t="str">
        <f>IF($B333="","",IF($B333+1&gt;'Qredits maandlasten'!$C$7,"",F333+1))</f>
        <v/>
      </c>
      <c r="F334" s="420" t="str">
        <f>IF($B333="","",IF($B333+1&gt;'Qredits maandlasten'!$C$7,"",EOMONTH(C334,-1)))</f>
        <v/>
      </c>
      <c r="G334" s="421" t="str">
        <f>IF($B333="","",IF($B333+1&gt;'Qredits maandlasten'!$C$7,"",(_xlfn.DAYS(F334,E334)+1)/DAY(F334)))</f>
        <v/>
      </c>
      <c r="H334" s="422"/>
      <c r="I334" s="423" t="str">
        <f>IF($B333="","",IF($B333+1&gt;'Qredits maandlasten'!$C$7,"",I333-J333))</f>
        <v/>
      </c>
      <c r="J334" s="423" t="str">
        <f>IF($B333="","",IF($B333+1&gt;'Qredits maandlasten'!$C$7,"",IF(B333&lt;'Investering &amp; Financiering'!$E$52-1,0,IF('Qredits maandlasten'!$C$10="Lineair",'Qredits maandlasten'!$H$4,IF('Qredits maandlasten'!$C$10="Annuïteit",IFERROR('Qredits maandlasten'!$H$4-K334,0),0)))))</f>
        <v/>
      </c>
      <c r="K334" s="423" t="str">
        <f>IF($B333="","",IF($B333+1&gt;'Qredits maandlasten'!$C$7,"",G334*I334*'Qredits maandlasten'!$C$8/12))</f>
        <v/>
      </c>
      <c r="L334" s="423" t="str">
        <f t="shared" si="27"/>
        <v/>
      </c>
      <c r="M334" s="423" t="str">
        <f t="shared" si="25"/>
        <v/>
      </c>
      <c r="N334" s="422"/>
      <c r="O334" s="424" t="str">
        <f>IF($B334="","",'Qredits maandlasten'!$C$8/12)</f>
        <v/>
      </c>
      <c r="P334" s="424" t="str">
        <f>IF($B334="","",'Qredits maandlasten'!$C$8/12*(POWER(1+'Qredits maandlasten'!$C$8/12,$B334-1+1)))</f>
        <v/>
      </c>
      <c r="Q334" s="424" t="str">
        <f t="shared" si="28"/>
        <v/>
      </c>
      <c r="R334" s="422"/>
      <c r="S334" s="423" t="str">
        <f t="shared" si="26"/>
        <v/>
      </c>
      <c r="T334" s="423" t="str">
        <f>IF(S334="","",J334/(POWER(1+'Qredits maandlasten'!$C$8/12,$B334-1+1)))</f>
        <v/>
      </c>
      <c r="U334" s="425" t="str">
        <f t="shared" si="29"/>
        <v/>
      </c>
      <c r="V334" s="423" t="str">
        <f>IF($B334="","",K334/(POWER(1+'Qredits maandlasten'!$C$8/12,$B334-1+1)))</f>
        <v/>
      </c>
      <c r="W334" s="422"/>
    </row>
    <row r="335" spans="1:23" s="427" customFormat="1" x14ac:dyDescent="0.2">
      <c r="A335" s="418"/>
      <c r="B335" s="419" t="str">
        <f>IF($B334="","",IF($B334+1&gt;'Qredits maandlasten'!$C$7,"",Schema!B334+1))</f>
        <v/>
      </c>
      <c r="C335" s="420" t="str">
        <f>IF($B334="","",IF($B334+1&gt;'Qredits maandlasten'!$C$7,"",EOMONTH(C334,0)+1))</f>
        <v/>
      </c>
      <c r="D335" s="418"/>
      <c r="E335" s="420" t="str">
        <f>IF($B334="","",IF($B334+1&gt;'Qredits maandlasten'!$C$7,"",F334+1))</f>
        <v/>
      </c>
      <c r="F335" s="420" t="str">
        <f>IF($B334="","",IF($B334+1&gt;'Qredits maandlasten'!$C$7,"",EOMONTH(C335,-1)))</f>
        <v/>
      </c>
      <c r="G335" s="421" t="str">
        <f>IF($B334="","",IF($B334+1&gt;'Qredits maandlasten'!$C$7,"",(_xlfn.DAYS(F335,E335)+1)/DAY(F335)))</f>
        <v/>
      </c>
      <c r="H335" s="422"/>
      <c r="I335" s="423" t="str">
        <f>IF($B334="","",IF($B334+1&gt;'Qredits maandlasten'!$C$7,"",I334-J334))</f>
        <v/>
      </c>
      <c r="J335" s="423" t="str">
        <f>IF($B334="","",IF($B334+1&gt;'Qredits maandlasten'!$C$7,"",IF(B334&lt;'Investering &amp; Financiering'!$E$52-1,0,IF('Qredits maandlasten'!$C$10="Lineair",'Qredits maandlasten'!$H$4,IF('Qredits maandlasten'!$C$10="Annuïteit",IFERROR('Qredits maandlasten'!$H$4-K335,0),0)))))</f>
        <v/>
      </c>
      <c r="K335" s="423" t="str">
        <f>IF($B334="","",IF($B334+1&gt;'Qredits maandlasten'!$C$7,"",G335*I335*'Qredits maandlasten'!$C$8/12))</f>
        <v/>
      </c>
      <c r="L335" s="423" t="str">
        <f t="shared" si="27"/>
        <v/>
      </c>
      <c r="M335" s="423" t="str">
        <f t="shared" si="25"/>
        <v/>
      </c>
      <c r="N335" s="422"/>
      <c r="O335" s="424" t="str">
        <f>IF($B335="","",'Qredits maandlasten'!$C$8/12)</f>
        <v/>
      </c>
      <c r="P335" s="424" t="str">
        <f>IF($B335="","",'Qredits maandlasten'!$C$8/12*(POWER(1+'Qredits maandlasten'!$C$8/12,$B335-1+1)))</f>
        <v/>
      </c>
      <c r="Q335" s="424" t="str">
        <f t="shared" si="28"/>
        <v/>
      </c>
      <c r="R335" s="422"/>
      <c r="S335" s="423" t="str">
        <f t="shared" si="26"/>
        <v/>
      </c>
      <c r="T335" s="423" t="str">
        <f>IF(S335="","",J335/(POWER(1+'Qredits maandlasten'!$C$8/12,$B335-1+1)))</f>
        <v/>
      </c>
      <c r="U335" s="425" t="str">
        <f t="shared" si="29"/>
        <v/>
      </c>
      <c r="V335" s="423" t="str">
        <f>IF($B335="","",K335/(POWER(1+'Qredits maandlasten'!$C$8/12,$B335-1+1)))</f>
        <v/>
      </c>
      <c r="W335" s="422"/>
    </row>
    <row r="336" spans="1:23" s="427" customFormat="1" x14ac:dyDescent="0.2">
      <c r="A336" s="418"/>
      <c r="B336" s="419" t="str">
        <f>IF($B335="","",IF($B335+1&gt;'Qredits maandlasten'!$C$7,"",Schema!B335+1))</f>
        <v/>
      </c>
      <c r="C336" s="420" t="str">
        <f>IF($B335="","",IF($B335+1&gt;'Qredits maandlasten'!$C$7,"",EOMONTH(C335,0)+1))</f>
        <v/>
      </c>
      <c r="D336" s="418"/>
      <c r="E336" s="420" t="str">
        <f>IF($B335="","",IF($B335+1&gt;'Qredits maandlasten'!$C$7,"",F335+1))</f>
        <v/>
      </c>
      <c r="F336" s="420" t="str">
        <f>IF($B335="","",IF($B335+1&gt;'Qredits maandlasten'!$C$7,"",EOMONTH(C336,-1)))</f>
        <v/>
      </c>
      <c r="G336" s="421" t="str">
        <f>IF($B335="","",IF($B335+1&gt;'Qredits maandlasten'!$C$7,"",(_xlfn.DAYS(F336,E336)+1)/DAY(F336)))</f>
        <v/>
      </c>
      <c r="H336" s="422"/>
      <c r="I336" s="423" t="str">
        <f>IF($B335="","",IF($B335+1&gt;'Qredits maandlasten'!$C$7,"",I335-J335))</f>
        <v/>
      </c>
      <c r="J336" s="423" t="str">
        <f>IF($B335="","",IF($B335+1&gt;'Qredits maandlasten'!$C$7,"",IF(B335&lt;'Investering &amp; Financiering'!$E$52-1,0,IF('Qredits maandlasten'!$C$10="Lineair",'Qredits maandlasten'!$H$4,IF('Qredits maandlasten'!$C$10="Annuïteit",IFERROR('Qredits maandlasten'!$H$4-K336,0),0)))))</f>
        <v/>
      </c>
      <c r="K336" s="423" t="str">
        <f>IF($B335="","",IF($B335+1&gt;'Qredits maandlasten'!$C$7,"",G336*I336*'Qredits maandlasten'!$C$8/12))</f>
        <v/>
      </c>
      <c r="L336" s="423" t="str">
        <f t="shared" si="27"/>
        <v/>
      </c>
      <c r="M336" s="423" t="str">
        <f t="shared" si="25"/>
        <v/>
      </c>
      <c r="N336" s="422"/>
      <c r="O336" s="424" t="str">
        <f>IF($B336="","",'Qredits maandlasten'!$C$8/12)</f>
        <v/>
      </c>
      <c r="P336" s="424" t="str">
        <f>IF($B336="","",'Qredits maandlasten'!$C$8/12*(POWER(1+'Qredits maandlasten'!$C$8/12,$B336-1+1)))</f>
        <v/>
      </c>
      <c r="Q336" s="424" t="str">
        <f t="shared" si="28"/>
        <v/>
      </c>
      <c r="R336" s="422"/>
      <c r="S336" s="423" t="str">
        <f t="shared" si="26"/>
        <v/>
      </c>
      <c r="T336" s="423" t="str">
        <f>IF(S336="","",J336/(POWER(1+'Qredits maandlasten'!$C$8/12,$B336-1+1)))</f>
        <v/>
      </c>
      <c r="U336" s="425" t="str">
        <f t="shared" si="29"/>
        <v/>
      </c>
      <c r="V336" s="423" t="str">
        <f>IF($B336="","",K336/(POWER(1+'Qredits maandlasten'!$C$8/12,$B336-1+1)))</f>
        <v/>
      </c>
      <c r="W336" s="422"/>
    </row>
    <row r="337" spans="1:23" s="427" customFormat="1" x14ac:dyDescent="0.2">
      <c r="A337" s="418"/>
      <c r="B337" s="419" t="str">
        <f>IF($B336="","",IF($B336+1&gt;'Qredits maandlasten'!$C$7,"",Schema!B336+1))</f>
        <v/>
      </c>
      <c r="C337" s="420" t="str">
        <f>IF($B336="","",IF($B336+1&gt;'Qredits maandlasten'!$C$7,"",EOMONTH(C336,0)+1))</f>
        <v/>
      </c>
      <c r="D337" s="418"/>
      <c r="E337" s="420" t="str">
        <f>IF($B336="","",IF($B336+1&gt;'Qredits maandlasten'!$C$7,"",F336+1))</f>
        <v/>
      </c>
      <c r="F337" s="420" t="str">
        <f>IF($B336="","",IF($B336+1&gt;'Qredits maandlasten'!$C$7,"",EOMONTH(C337,-1)))</f>
        <v/>
      </c>
      <c r="G337" s="421" t="str">
        <f>IF($B336="","",IF($B336+1&gt;'Qredits maandlasten'!$C$7,"",(_xlfn.DAYS(F337,E337)+1)/DAY(F337)))</f>
        <v/>
      </c>
      <c r="H337" s="422"/>
      <c r="I337" s="423" t="str">
        <f>IF($B336="","",IF($B336+1&gt;'Qredits maandlasten'!$C$7,"",I336-J336))</f>
        <v/>
      </c>
      <c r="J337" s="423" t="str">
        <f>IF($B336="","",IF($B336+1&gt;'Qredits maandlasten'!$C$7,"",IF(B336&lt;'Investering &amp; Financiering'!$E$52-1,0,IF('Qredits maandlasten'!$C$10="Lineair",'Qredits maandlasten'!$H$4,IF('Qredits maandlasten'!$C$10="Annuïteit",IFERROR('Qredits maandlasten'!$H$4-K337,0),0)))))</f>
        <v/>
      </c>
      <c r="K337" s="423" t="str">
        <f>IF($B336="","",IF($B336+1&gt;'Qredits maandlasten'!$C$7,"",G337*I337*'Qredits maandlasten'!$C$8/12))</f>
        <v/>
      </c>
      <c r="L337" s="423" t="str">
        <f t="shared" si="27"/>
        <v/>
      </c>
      <c r="M337" s="423" t="str">
        <f t="shared" si="25"/>
        <v/>
      </c>
      <c r="N337" s="422"/>
      <c r="O337" s="424" t="str">
        <f>IF($B337="","",'Qredits maandlasten'!$C$8/12)</f>
        <v/>
      </c>
      <c r="P337" s="424" t="str">
        <f>IF($B337="","",'Qredits maandlasten'!$C$8/12*(POWER(1+'Qredits maandlasten'!$C$8/12,$B337-1+1)))</f>
        <v/>
      </c>
      <c r="Q337" s="424" t="str">
        <f t="shared" si="28"/>
        <v/>
      </c>
      <c r="R337" s="422"/>
      <c r="S337" s="423" t="str">
        <f t="shared" si="26"/>
        <v/>
      </c>
      <c r="T337" s="423" t="str">
        <f>IF(S337="","",J337/(POWER(1+'Qredits maandlasten'!$C$8/12,$B337-1+1)))</f>
        <v/>
      </c>
      <c r="U337" s="425" t="str">
        <f t="shared" si="29"/>
        <v/>
      </c>
      <c r="V337" s="423" t="str">
        <f>IF($B337="","",K337/(POWER(1+'Qredits maandlasten'!$C$8/12,$B337-1+1)))</f>
        <v/>
      </c>
      <c r="W337" s="422"/>
    </row>
    <row r="338" spans="1:23" s="427" customFormat="1" x14ac:dyDescent="0.2">
      <c r="A338" s="418"/>
      <c r="B338" s="419" t="str">
        <f>IF($B337="","",IF($B337+1&gt;'Qredits maandlasten'!$C$7,"",Schema!B337+1))</f>
        <v/>
      </c>
      <c r="C338" s="420" t="str">
        <f>IF($B337="","",IF($B337+1&gt;'Qredits maandlasten'!$C$7,"",EOMONTH(C337,0)+1))</f>
        <v/>
      </c>
      <c r="D338" s="418"/>
      <c r="E338" s="420" t="str">
        <f>IF($B337="","",IF($B337+1&gt;'Qredits maandlasten'!$C$7,"",F337+1))</f>
        <v/>
      </c>
      <c r="F338" s="420" t="str">
        <f>IF($B337="","",IF($B337+1&gt;'Qredits maandlasten'!$C$7,"",EOMONTH(C338,-1)))</f>
        <v/>
      </c>
      <c r="G338" s="421" t="str">
        <f>IF($B337="","",IF($B337+1&gt;'Qredits maandlasten'!$C$7,"",(_xlfn.DAYS(F338,E338)+1)/DAY(F338)))</f>
        <v/>
      </c>
      <c r="H338" s="422"/>
      <c r="I338" s="423" t="str">
        <f>IF($B337="","",IF($B337+1&gt;'Qredits maandlasten'!$C$7,"",I337-J337))</f>
        <v/>
      </c>
      <c r="J338" s="423" t="str">
        <f>IF($B337="","",IF($B337+1&gt;'Qredits maandlasten'!$C$7,"",IF(B337&lt;'Investering &amp; Financiering'!$E$52-1,0,IF('Qredits maandlasten'!$C$10="Lineair",'Qredits maandlasten'!$H$4,IF('Qredits maandlasten'!$C$10="Annuïteit",IFERROR('Qredits maandlasten'!$H$4-K338,0),0)))))</f>
        <v/>
      </c>
      <c r="K338" s="423" t="str">
        <f>IF($B337="","",IF($B337+1&gt;'Qredits maandlasten'!$C$7,"",G338*I338*'Qredits maandlasten'!$C$8/12))</f>
        <v/>
      </c>
      <c r="L338" s="423" t="str">
        <f t="shared" si="27"/>
        <v/>
      </c>
      <c r="M338" s="423" t="str">
        <f t="shared" si="25"/>
        <v/>
      </c>
      <c r="N338" s="422"/>
      <c r="O338" s="424" t="str">
        <f>IF($B338="","",'Qredits maandlasten'!$C$8/12)</f>
        <v/>
      </c>
      <c r="P338" s="424" t="str">
        <f>IF($B338="","",'Qredits maandlasten'!$C$8/12*(POWER(1+'Qredits maandlasten'!$C$8/12,$B338-1+1)))</f>
        <v/>
      </c>
      <c r="Q338" s="424" t="str">
        <f t="shared" si="28"/>
        <v/>
      </c>
      <c r="R338" s="422"/>
      <c r="S338" s="423" t="str">
        <f t="shared" si="26"/>
        <v/>
      </c>
      <c r="T338" s="423" t="str">
        <f>IF(S338="","",J338/(POWER(1+'Qredits maandlasten'!$C$8/12,$B338-1+1)))</f>
        <v/>
      </c>
      <c r="U338" s="425" t="str">
        <f t="shared" si="29"/>
        <v/>
      </c>
      <c r="V338" s="423" t="str">
        <f>IF($B338="","",K338/(POWER(1+'Qredits maandlasten'!$C$8/12,$B338-1+1)))</f>
        <v/>
      </c>
      <c r="W338" s="422"/>
    </row>
    <row r="339" spans="1:23" s="427" customFormat="1" x14ac:dyDescent="0.2">
      <c r="A339" s="418"/>
      <c r="B339" s="419" t="str">
        <f>IF($B338="","",IF($B338+1&gt;'Qredits maandlasten'!$C$7,"",Schema!B338+1))</f>
        <v/>
      </c>
      <c r="C339" s="420" t="str">
        <f>IF($B338="","",IF($B338+1&gt;'Qredits maandlasten'!$C$7,"",EOMONTH(C338,0)+1))</f>
        <v/>
      </c>
      <c r="D339" s="418"/>
      <c r="E339" s="420" t="str">
        <f>IF($B338="","",IF($B338+1&gt;'Qredits maandlasten'!$C$7,"",F338+1))</f>
        <v/>
      </c>
      <c r="F339" s="420" t="str">
        <f>IF($B338="","",IF($B338+1&gt;'Qredits maandlasten'!$C$7,"",EOMONTH(C339,-1)))</f>
        <v/>
      </c>
      <c r="G339" s="421" t="str">
        <f>IF($B338="","",IF($B338+1&gt;'Qredits maandlasten'!$C$7,"",(_xlfn.DAYS(F339,E339)+1)/DAY(F339)))</f>
        <v/>
      </c>
      <c r="H339" s="422"/>
      <c r="I339" s="423" t="str">
        <f>IF($B338="","",IF($B338+1&gt;'Qredits maandlasten'!$C$7,"",I338-J338))</f>
        <v/>
      </c>
      <c r="J339" s="423" t="str">
        <f>IF($B338="","",IF($B338+1&gt;'Qredits maandlasten'!$C$7,"",IF(B338&lt;'Investering &amp; Financiering'!$E$52-1,0,IF('Qredits maandlasten'!$C$10="Lineair",'Qredits maandlasten'!$H$4,IF('Qredits maandlasten'!$C$10="Annuïteit",IFERROR('Qredits maandlasten'!$H$4-K339,0),0)))))</f>
        <v/>
      </c>
      <c r="K339" s="423" t="str">
        <f>IF($B338="","",IF($B338+1&gt;'Qredits maandlasten'!$C$7,"",G339*I339*'Qredits maandlasten'!$C$8/12))</f>
        <v/>
      </c>
      <c r="L339" s="423" t="str">
        <f t="shared" si="27"/>
        <v/>
      </c>
      <c r="M339" s="423" t="str">
        <f t="shared" si="25"/>
        <v/>
      </c>
      <c r="N339" s="422"/>
      <c r="O339" s="424" t="str">
        <f>IF($B339="","",'Qredits maandlasten'!$C$8/12)</f>
        <v/>
      </c>
      <c r="P339" s="424" t="str">
        <f>IF($B339="","",'Qredits maandlasten'!$C$8/12*(POWER(1+'Qredits maandlasten'!$C$8/12,$B339-1+1)))</f>
        <v/>
      </c>
      <c r="Q339" s="424" t="str">
        <f t="shared" si="28"/>
        <v/>
      </c>
      <c r="R339" s="422"/>
      <c r="S339" s="423" t="str">
        <f t="shared" si="26"/>
        <v/>
      </c>
      <c r="T339" s="423" t="str">
        <f>IF(S339="","",J339/(POWER(1+'Qredits maandlasten'!$C$8/12,$B339-1+1)))</f>
        <v/>
      </c>
      <c r="U339" s="425" t="str">
        <f t="shared" si="29"/>
        <v/>
      </c>
      <c r="V339" s="423" t="str">
        <f>IF($B339="","",K339/(POWER(1+'Qredits maandlasten'!$C$8/12,$B339-1+1)))</f>
        <v/>
      </c>
      <c r="W339" s="422"/>
    </row>
    <row r="340" spans="1:23" s="427" customFormat="1" x14ac:dyDescent="0.2">
      <c r="A340" s="418"/>
      <c r="B340" s="419" t="str">
        <f>IF($B339="","",IF($B339+1&gt;'Qredits maandlasten'!$C$7,"",Schema!B339+1))</f>
        <v/>
      </c>
      <c r="C340" s="420" t="str">
        <f>IF($B339="","",IF($B339+1&gt;'Qredits maandlasten'!$C$7,"",EOMONTH(C339,0)+1))</f>
        <v/>
      </c>
      <c r="D340" s="418"/>
      <c r="E340" s="420" t="str">
        <f>IF($B339="","",IF($B339+1&gt;'Qredits maandlasten'!$C$7,"",F339+1))</f>
        <v/>
      </c>
      <c r="F340" s="420" t="str">
        <f>IF($B339="","",IF($B339+1&gt;'Qredits maandlasten'!$C$7,"",EOMONTH(C340,-1)))</f>
        <v/>
      </c>
      <c r="G340" s="421" t="str">
        <f>IF($B339="","",IF($B339+1&gt;'Qredits maandlasten'!$C$7,"",(_xlfn.DAYS(F340,E340)+1)/DAY(F340)))</f>
        <v/>
      </c>
      <c r="H340" s="422"/>
      <c r="I340" s="423" t="str">
        <f>IF($B339="","",IF($B339+1&gt;'Qredits maandlasten'!$C$7,"",I339-J339))</f>
        <v/>
      </c>
      <c r="J340" s="423" t="str">
        <f>IF($B339="","",IF($B339+1&gt;'Qredits maandlasten'!$C$7,"",IF(B339&lt;'Investering &amp; Financiering'!$E$52-1,0,IF('Qredits maandlasten'!$C$10="Lineair",'Qredits maandlasten'!$H$4,IF('Qredits maandlasten'!$C$10="Annuïteit",IFERROR('Qredits maandlasten'!$H$4-K340,0),0)))))</f>
        <v/>
      </c>
      <c r="K340" s="423" t="str">
        <f>IF($B339="","",IF($B339+1&gt;'Qredits maandlasten'!$C$7,"",G340*I340*'Qredits maandlasten'!$C$8/12))</f>
        <v/>
      </c>
      <c r="L340" s="423" t="str">
        <f t="shared" si="27"/>
        <v/>
      </c>
      <c r="M340" s="423" t="str">
        <f t="shared" si="25"/>
        <v/>
      </c>
      <c r="N340" s="422"/>
      <c r="O340" s="424" t="str">
        <f>IF($B340="","",'Qredits maandlasten'!$C$8/12)</f>
        <v/>
      </c>
      <c r="P340" s="424" t="str">
        <f>IF($B340="","",'Qredits maandlasten'!$C$8/12*(POWER(1+'Qredits maandlasten'!$C$8/12,$B340-1+1)))</f>
        <v/>
      </c>
      <c r="Q340" s="424" t="str">
        <f t="shared" si="28"/>
        <v/>
      </c>
      <c r="R340" s="422"/>
      <c r="S340" s="423" t="str">
        <f t="shared" si="26"/>
        <v/>
      </c>
      <c r="T340" s="423" t="str">
        <f>IF(S340="","",J340/(POWER(1+'Qredits maandlasten'!$C$8/12,$B340-1+1)))</f>
        <v/>
      </c>
      <c r="U340" s="425" t="str">
        <f t="shared" si="29"/>
        <v/>
      </c>
      <c r="V340" s="423" t="str">
        <f>IF($B340="","",K340/(POWER(1+'Qredits maandlasten'!$C$8/12,$B340-1+1)))</f>
        <v/>
      </c>
      <c r="W340" s="422"/>
    </row>
    <row r="341" spans="1:23" s="427" customFormat="1" x14ac:dyDescent="0.2">
      <c r="A341" s="418"/>
      <c r="B341" s="419" t="str">
        <f>IF($B340="","",IF($B340+1&gt;'Qredits maandlasten'!$C$7,"",Schema!B340+1))</f>
        <v/>
      </c>
      <c r="C341" s="420" t="str">
        <f>IF($B340="","",IF($B340+1&gt;'Qredits maandlasten'!$C$7,"",EOMONTH(C340,0)+1))</f>
        <v/>
      </c>
      <c r="D341" s="418"/>
      <c r="E341" s="420" t="str">
        <f>IF($B340="","",IF($B340+1&gt;'Qredits maandlasten'!$C$7,"",F340+1))</f>
        <v/>
      </c>
      <c r="F341" s="420" t="str">
        <f>IF($B340="","",IF($B340+1&gt;'Qredits maandlasten'!$C$7,"",EOMONTH(C341,-1)))</f>
        <v/>
      </c>
      <c r="G341" s="421" t="str">
        <f>IF($B340="","",IF($B340+1&gt;'Qredits maandlasten'!$C$7,"",(_xlfn.DAYS(F341,E341)+1)/DAY(F341)))</f>
        <v/>
      </c>
      <c r="H341" s="422"/>
      <c r="I341" s="423" t="str">
        <f>IF($B340="","",IF($B340+1&gt;'Qredits maandlasten'!$C$7,"",I340-J340))</f>
        <v/>
      </c>
      <c r="J341" s="423" t="str">
        <f>IF($B340="","",IF($B340+1&gt;'Qredits maandlasten'!$C$7,"",IF(B340&lt;'Investering &amp; Financiering'!$E$52-1,0,IF('Qredits maandlasten'!$C$10="Lineair",'Qredits maandlasten'!$H$4,IF('Qredits maandlasten'!$C$10="Annuïteit",IFERROR('Qredits maandlasten'!$H$4-K341,0),0)))))</f>
        <v/>
      </c>
      <c r="K341" s="423" t="str">
        <f>IF($B340="","",IF($B340+1&gt;'Qredits maandlasten'!$C$7,"",G341*I341*'Qredits maandlasten'!$C$8/12))</f>
        <v/>
      </c>
      <c r="L341" s="423" t="str">
        <f t="shared" si="27"/>
        <v/>
      </c>
      <c r="M341" s="423" t="str">
        <f t="shared" si="25"/>
        <v/>
      </c>
      <c r="N341" s="422"/>
      <c r="O341" s="424" t="str">
        <f>IF($B341="","",'Qredits maandlasten'!$C$8/12)</f>
        <v/>
      </c>
      <c r="P341" s="424" t="str">
        <f>IF($B341="","",'Qredits maandlasten'!$C$8/12*(POWER(1+'Qredits maandlasten'!$C$8/12,$B341-1+1)))</f>
        <v/>
      </c>
      <c r="Q341" s="424" t="str">
        <f t="shared" si="28"/>
        <v/>
      </c>
      <c r="R341" s="422"/>
      <c r="S341" s="423" t="str">
        <f t="shared" si="26"/>
        <v/>
      </c>
      <c r="T341" s="423" t="str">
        <f>IF(S341="","",J341/(POWER(1+'Qredits maandlasten'!$C$8/12,$B341-1+1)))</f>
        <v/>
      </c>
      <c r="U341" s="425" t="str">
        <f t="shared" si="29"/>
        <v/>
      </c>
      <c r="V341" s="423" t="str">
        <f>IF($B341="","",K341/(POWER(1+'Qredits maandlasten'!$C$8/12,$B341-1+1)))</f>
        <v/>
      </c>
      <c r="W341" s="422"/>
    </row>
    <row r="342" spans="1:23" s="427" customFormat="1" x14ac:dyDescent="0.2">
      <c r="A342" s="418"/>
      <c r="B342" s="419" t="str">
        <f>IF($B341="","",IF($B341+1&gt;'Qredits maandlasten'!$C$7,"",Schema!B341+1))</f>
        <v/>
      </c>
      <c r="C342" s="420" t="str">
        <f>IF($B341="","",IF($B341+1&gt;'Qredits maandlasten'!$C$7,"",EOMONTH(C341,0)+1))</f>
        <v/>
      </c>
      <c r="D342" s="418"/>
      <c r="E342" s="420" t="str">
        <f>IF($B341="","",IF($B341+1&gt;'Qredits maandlasten'!$C$7,"",F341+1))</f>
        <v/>
      </c>
      <c r="F342" s="420" t="str">
        <f>IF($B341="","",IF($B341+1&gt;'Qredits maandlasten'!$C$7,"",EOMONTH(C342,-1)))</f>
        <v/>
      </c>
      <c r="G342" s="421" t="str">
        <f>IF($B341="","",IF($B341+1&gt;'Qredits maandlasten'!$C$7,"",(_xlfn.DAYS(F342,E342)+1)/DAY(F342)))</f>
        <v/>
      </c>
      <c r="H342" s="422"/>
      <c r="I342" s="423" t="str">
        <f>IF($B341="","",IF($B341+1&gt;'Qredits maandlasten'!$C$7,"",I341-J341))</f>
        <v/>
      </c>
      <c r="J342" s="423" t="str">
        <f>IF($B341="","",IF($B341+1&gt;'Qredits maandlasten'!$C$7,"",IF(B341&lt;'Investering &amp; Financiering'!$E$52-1,0,IF('Qredits maandlasten'!$C$10="Lineair",'Qredits maandlasten'!$H$4,IF('Qredits maandlasten'!$C$10="Annuïteit",IFERROR('Qredits maandlasten'!$H$4-K342,0),0)))))</f>
        <v/>
      </c>
      <c r="K342" s="423" t="str">
        <f>IF($B341="","",IF($B341+1&gt;'Qredits maandlasten'!$C$7,"",G342*I342*'Qredits maandlasten'!$C$8/12))</f>
        <v/>
      </c>
      <c r="L342" s="423" t="str">
        <f t="shared" si="27"/>
        <v/>
      </c>
      <c r="M342" s="423" t="str">
        <f t="shared" si="25"/>
        <v/>
      </c>
      <c r="N342" s="422"/>
      <c r="O342" s="424" t="str">
        <f>IF($B342="","",'Qredits maandlasten'!$C$8/12)</f>
        <v/>
      </c>
      <c r="P342" s="424" t="str">
        <f>IF($B342="","",'Qredits maandlasten'!$C$8/12*(POWER(1+'Qredits maandlasten'!$C$8/12,$B342-1+1)))</f>
        <v/>
      </c>
      <c r="Q342" s="424" t="str">
        <f t="shared" si="28"/>
        <v/>
      </c>
      <c r="R342" s="422"/>
      <c r="S342" s="423" t="str">
        <f t="shared" si="26"/>
        <v/>
      </c>
      <c r="T342" s="423" t="str">
        <f>IF(S342="","",J342/(POWER(1+'Qredits maandlasten'!$C$8/12,$B342-1+1)))</f>
        <v/>
      </c>
      <c r="U342" s="425" t="str">
        <f t="shared" si="29"/>
        <v/>
      </c>
      <c r="V342" s="423" t="str">
        <f>IF($B342="","",K342/(POWER(1+'Qredits maandlasten'!$C$8/12,$B342-1+1)))</f>
        <v/>
      </c>
      <c r="W342" s="422"/>
    </row>
    <row r="343" spans="1:23" s="427" customFormat="1" x14ac:dyDescent="0.2">
      <c r="A343" s="418"/>
      <c r="B343" s="419" t="str">
        <f>IF($B342="","",IF($B342+1&gt;'Qredits maandlasten'!$C$7,"",Schema!B342+1))</f>
        <v/>
      </c>
      <c r="C343" s="420" t="str">
        <f>IF($B342="","",IF($B342+1&gt;'Qredits maandlasten'!$C$7,"",EOMONTH(C342,0)+1))</f>
        <v/>
      </c>
      <c r="D343" s="418"/>
      <c r="E343" s="420" t="str">
        <f>IF($B342="","",IF($B342+1&gt;'Qredits maandlasten'!$C$7,"",F342+1))</f>
        <v/>
      </c>
      <c r="F343" s="420" t="str">
        <f>IF($B342="","",IF($B342+1&gt;'Qredits maandlasten'!$C$7,"",EOMONTH(C343,-1)))</f>
        <v/>
      </c>
      <c r="G343" s="421" t="str">
        <f>IF($B342="","",IF($B342+1&gt;'Qredits maandlasten'!$C$7,"",(_xlfn.DAYS(F343,E343)+1)/DAY(F343)))</f>
        <v/>
      </c>
      <c r="H343" s="422"/>
      <c r="I343" s="423" t="str">
        <f>IF($B342="","",IF($B342+1&gt;'Qredits maandlasten'!$C$7,"",I342-J342))</f>
        <v/>
      </c>
      <c r="J343" s="423" t="str">
        <f>IF($B342="","",IF($B342+1&gt;'Qredits maandlasten'!$C$7,"",IF(B342&lt;'Investering &amp; Financiering'!$E$52-1,0,IF('Qredits maandlasten'!$C$10="Lineair",'Qredits maandlasten'!$H$4,IF('Qredits maandlasten'!$C$10="Annuïteit",IFERROR('Qredits maandlasten'!$H$4-K343,0),0)))))</f>
        <v/>
      </c>
      <c r="K343" s="423" t="str">
        <f>IF($B342="","",IF($B342+1&gt;'Qredits maandlasten'!$C$7,"",G343*I343*'Qredits maandlasten'!$C$8/12))</f>
        <v/>
      </c>
      <c r="L343" s="423" t="str">
        <f t="shared" si="27"/>
        <v/>
      </c>
      <c r="M343" s="423" t="str">
        <f t="shared" si="25"/>
        <v/>
      </c>
      <c r="N343" s="422"/>
      <c r="O343" s="424" t="str">
        <f>IF($B343="","",'Qredits maandlasten'!$C$8/12)</f>
        <v/>
      </c>
      <c r="P343" s="424" t="str">
        <f>IF($B343="","",'Qredits maandlasten'!$C$8/12*(POWER(1+'Qredits maandlasten'!$C$8/12,$B343-1+1)))</f>
        <v/>
      </c>
      <c r="Q343" s="424" t="str">
        <f t="shared" si="28"/>
        <v/>
      </c>
      <c r="R343" s="422"/>
      <c r="S343" s="423" t="str">
        <f t="shared" si="26"/>
        <v/>
      </c>
      <c r="T343" s="423" t="str">
        <f>IF(S343="","",J343/(POWER(1+'Qredits maandlasten'!$C$8/12,$B343-1+1)))</f>
        <v/>
      </c>
      <c r="U343" s="425" t="str">
        <f t="shared" si="29"/>
        <v/>
      </c>
      <c r="V343" s="423" t="str">
        <f>IF($B343="","",K343/(POWER(1+'Qredits maandlasten'!$C$8/12,$B343-1+1)))</f>
        <v/>
      </c>
      <c r="W343" s="422"/>
    </row>
    <row r="344" spans="1:23" s="427" customFormat="1" x14ac:dyDescent="0.2">
      <c r="A344" s="418"/>
      <c r="B344" s="419" t="str">
        <f>IF($B343="","",IF($B343+1&gt;'Qredits maandlasten'!$C$7,"",Schema!B343+1))</f>
        <v/>
      </c>
      <c r="C344" s="420" t="str">
        <f>IF($B343="","",IF($B343+1&gt;'Qredits maandlasten'!$C$7,"",EOMONTH(C343,0)+1))</f>
        <v/>
      </c>
      <c r="D344" s="418"/>
      <c r="E344" s="420" t="str">
        <f>IF($B343="","",IF($B343+1&gt;'Qredits maandlasten'!$C$7,"",F343+1))</f>
        <v/>
      </c>
      <c r="F344" s="420" t="str">
        <f>IF($B343="","",IF($B343+1&gt;'Qredits maandlasten'!$C$7,"",EOMONTH(C344,-1)))</f>
        <v/>
      </c>
      <c r="G344" s="421" t="str">
        <f>IF($B343="","",IF($B343+1&gt;'Qredits maandlasten'!$C$7,"",(_xlfn.DAYS(F344,E344)+1)/DAY(F344)))</f>
        <v/>
      </c>
      <c r="H344" s="422"/>
      <c r="I344" s="423" t="str">
        <f>IF($B343="","",IF($B343+1&gt;'Qredits maandlasten'!$C$7,"",I343-J343))</f>
        <v/>
      </c>
      <c r="J344" s="423" t="str">
        <f>IF($B343="","",IF($B343+1&gt;'Qredits maandlasten'!$C$7,"",IF(B343&lt;'Investering &amp; Financiering'!$E$52-1,0,IF('Qredits maandlasten'!$C$10="Lineair",'Qredits maandlasten'!$H$4,IF('Qredits maandlasten'!$C$10="Annuïteit",IFERROR('Qredits maandlasten'!$H$4-K344,0),0)))))</f>
        <v/>
      </c>
      <c r="K344" s="423" t="str">
        <f>IF($B343="","",IF($B343+1&gt;'Qredits maandlasten'!$C$7,"",G344*I344*'Qredits maandlasten'!$C$8/12))</f>
        <v/>
      </c>
      <c r="L344" s="423" t="str">
        <f t="shared" si="27"/>
        <v/>
      </c>
      <c r="M344" s="423" t="str">
        <f t="shared" si="25"/>
        <v/>
      </c>
      <c r="N344" s="422"/>
      <c r="O344" s="424" t="str">
        <f>IF($B344="","",'Qredits maandlasten'!$C$8/12)</f>
        <v/>
      </c>
      <c r="P344" s="424" t="str">
        <f>IF($B344="","",'Qredits maandlasten'!$C$8/12*(POWER(1+'Qredits maandlasten'!$C$8/12,$B344-1+1)))</f>
        <v/>
      </c>
      <c r="Q344" s="424" t="str">
        <f t="shared" si="28"/>
        <v/>
      </c>
      <c r="R344" s="422"/>
      <c r="S344" s="423" t="str">
        <f t="shared" si="26"/>
        <v/>
      </c>
      <c r="T344" s="423" t="str">
        <f>IF(S344="","",J344/(POWER(1+'Qredits maandlasten'!$C$8/12,$B344-1+1)))</f>
        <v/>
      </c>
      <c r="U344" s="425" t="str">
        <f t="shared" si="29"/>
        <v/>
      </c>
      <c r="V344" s="423" t="str">
        <f>IF($B344="","",K344/(POWER(1+'Qredits maandlasten'!$C$8/12,$B344-1+1)))</f>
        <v/>
      </c>
      <c r="W344" s="422"/>
    </row>
    <row r="345" spans="1:23" s="427" customFormat="1" x14ac:dyDescent="0.2">
      <c r="A345" s="418"/>
      <c r="B345" s="419" t="str">
        <f>IF($B344="","",IF($B344+1&gt;'Qredits maandlasten'!$C$7,"",Schema!B344+1))</f>
        <v/>
      </c>
      <c r="C345" s="420" t="str">
        <f>IF($B344="","",IF($B344+1&gt;'Qredits maandlasten'!$C$7,"",EOMONTH(C344,0)+1))</f>
        <v/>
      </c>
      <c r="D345" s="418"/>
      <c r="E345" s="420" t="str">
        <f>IF($B344="","",IF($B344+1&gt;'Qredits maandlasten'!$C$7,"",F344+1))</f>
        <v/>
      </c>
      <c r="F345" s="420" t="str">
        <f>IF($B344="","",IF($B344+1&gt;'Qredits maandlasten'!$C$7,"",EOMONTH(C345,-1)))</f>
        <v/>
      </c>
      <c r="G345" s="421" t="str">
        <f>IF($B344="","",IF($B344+1&gt;'Qredits maandlasten'!$C$7,"",(_xlfn.DAYS(F345,E345)+1)/DAY(F345)))</f>
        <v/>
      </c>
      <c r="H345" s="422"/>
      <c r="I345" s="423" t="str">
        <f>IF($B344="","",IF($B344+1&gt;'Qredits maandlasten'!$C$7,"",I344-J344))</f>
        <v/>
      </c>
      <c r="J345" s="423" t="str">
        <f>IF($B344="","",IF($B344+1&gt;'Qredits maandlasten'!$C$7,"",IF(B344&lt;'Investering &amp; Financiering'!$E$52-1,0,IF('Qredits maandlasten'!$C$10="Lineair",'Qredits maandlasten'!$H$4,IF('Qredits maandlasten'!$C$10="Annuïteit",IFERROR('Qredits maandlasten'!$H$4-K345,0),0)))))</f>
        <v/>
      </c>
      <c r="K345" s="423" t="str">
        <f>IF($B344="","",IF($B344+1&gt;'Qredits maandlasten'!$C$7,"",G345*I345*'Qredits maandlasten'!$C$8/12))</f>
        <v/>
      </c>
      <c r="L345" s="423" t="str">
        <f t="shared" si="27"/>
        <v/>
      </c>
      <c r="M345" s="423" t="str">
        <f t="shared" si="25"/>
        <v/>
      </c>
      <c r="N345" s="422"/>
      <c r="O345" s="424" t="str">
        <f>IF($B345="","",'Qredits maandlasten'!$C$8/12)</f>
        <v/>
      </c>
      <c r="P345" s="424" t="str">
        <f>IF($B345="","",'Qredits maandlasten'!$C$8/12*(POWER(1+'Qredits maandlasten'!$C$8/12,$B345-1+1)))</f>
        <v/>
      </c>
      <c r="Q345" s="424" t="str">
        <f t="shared" si="28"/>
        <v/>
      </c>
      <c r="R345" s="422"/>
      <c r="S345" s="423" t="str">
        <f t="shared" si="26"/>
        <v/>
      </c>
      <c r="T345" s="423" t="str">
        <f>IF(S345="","",J345/(POWER(1+'Qredits maandlasten'!$C$8/12,$B345-1+1)))</f>
        <v/>
      </c>
      <c r="U345" s="425" t="str">
        <f t="shared" si="29"/>
        <v/>
      </c>
      <c r="V345" s="423" t="str">
        <f>IF($B345="","",K345/(POWER(1+'Qredits maandlasten'!$C$8/12,$B345-1+1)))</f>
        <v/>
      </c>
      <c r="W345" s="422"/>
    </row>
    <row r="346" spans="1:23" s="427" customFormat="1" x14ac:dyDescent="0.2">
      <c r="A346" s="418"/>
      <c r="B346" s="419" t="str">
        <f>IF($B345="","",IF($B345+1&gt;'Qredits maandlasten'!$C$7,"",Schema!B345+1))</f>
        <v/>
      </c>
      <c r="C346" s="420" t="str">
        <f>IF($B345="","",IF($B345+1&gt;'Qredits maandlasten'!$C$7,"",EOMONTH(C345,0)+1))</f>
        <v/>
      </c>
      <c r="D346" s="418"/>
      <c r="E346" s="420" t="str">
        <f>IF($B345="","",IF($B345+1&gt;'Qredits maandlasten'!$C$7,"",F345+1))</f>
        <v/>
      </c>
      <c r="F346" s="420" t="str">
        <f>IF($B345="","",IF($B345+1&gt;'Qredits maandlasten'!$C$7,"",EOMONTH(C346,-1)))</f>
        <v/>
      </c>
      <c r="G346" s="421" t="str">
        <f>IF($B345="","",IF($B345+1&gt;'Qredits maandlasten'!$C$7,"",(_xlfn.DAYS(F346,E346)+1)/DAY(F346)))</f>
        <v/>
      </c>
      <c r="H346" s="422"/>
      <c r="I346" s="423" t="str">
        <f>IF($B345="","",IF($B345+1&gt;'Qredits maandlasten'!$C$7,"",I345-J345))</f>
        <v/>
      </c>
      <c r="J346" s="423" t="str">
        <f>IF($B345="","",IF($B345+1&gt;'Qredits maandlasten'!$C$7,"",IF(B345&lt;'Investering &amp; Financiering'!$E$52-1,0,IF('Qredits maandlasten'!$C$10="Lineair",'Qredits maandlasten'!$H$4,IF('Qredits maandlasten'!$C$10="Annuïteit",IFERROR('Qredits maandlasten'!$H$4-K346,0),0)))))</f>
        <v/>
      </c>
      <c r="K346" s="423" t="str">
        <f>IF($B345="","",IF($B345+1&gt;'Qredits maandlasten'!$C$7,"",G346*I346*'Qredits maandlasten'!$C$8/12))</f>
        <v/>
      </c>
      <c r="L346" s="423" t="str">
        <f t="shared" si="27"/>
        <v/>
      </c>
      <c r="M346" s="423" t="str">
        <f t="shared" si="25"/>
        <v/>
      </c>
      <c r="N346" s="422"/>
      <c r="O346" s="424" t="str">
        <f>IF($B346="","",'Qredits maandlasten'!$C$8/12)</f>
        <v/>
      </c>
      <c r="P346" s="424" t="str">
        <f>IF($B346="","",'Qredits maandlasten'!$C$8/12*(POWER(1+'Qredits maandlasten'!$C$8/12,$B346-1+1)))</f>
        <v/>
      </c>
      <c r="Q346" s="424" t="str">
        <f t="shared" si="28"/>
        <v/>
      </c>
      <c r="R346" s="422"/>
      <c r="S346" s="423" t="str">
        <f t="shared" si="26"/>
        <v/>
      </c>
      <c r="T346" s="423" t="str">
        <f>IF(S346="","",J346/(POWER(1+'Qredits maandlasten'!$C$8/12,$B346-1+1)))</f>
        <v/>
      </c>
      <c r="U346" s="425" t="str">
        <f t="shared" si="29"/>
        <v/>
      </c>
      <c r="V346" s="423" t="str">
        <f>IF($B346="","",K346/(POWER(1+'Qredits maandlasten'!$C$8/12,$B346-1+1)))</f>
        <v/>
      </c>
      <c r="W346" s="422"/>
    </row>
    <row r="347" spans="1:23" s="427" customFormat="1" x14ac:dyDescent="0.2">
      <c r="A347" s="418"/>
      <c r="B347" s="419" t="str">
        <f>IF($B346="","",IF($B346+1&gt;'Qredits maandlasten'!$C$7,"",Schema!B346+1))</f>
        <v/>
      </c>
      <c r="C347" s="420" t="str">
        <f>IF($B346="","",IF($B346+1&gt;'Qredits maandlasten'!$C$7,"",EOMONTH(C346,0)+1))</f>
        <v/>
      </c>
      <c r="D347" s="418"/>
      <c r="E347" s="420" t="str">
        <f>IF($B346="","",IF($B346+1&gt;'Qredits maandlasten'!$C$7,"",F346+1))</f>
        <v/>
      </c>
      <c r="F347" s="420" t="str">
        <f>IF($B346="","",IF($B346+1&gt;'Qredits maandlasten'!$C$7,"",EOMONTH(C347,-1)))</f>
        <v/>
      </c>
      <c r="G347" s="421" t="str">
        <f>IF($B346="","",IF($B346+1&gt;'Qredits maandlasten'!$C$7,"",(_xlfn.DAYS(F347,E347)+1)/DAY(F347)))</f>
        <v/>
      </c>
      <c r="H347" s="422"/>
      <c r="I347" s="423" t="str">
        <f>IF($B346="","",IF($B346+1&gt;'Qredits maandlasten'!$C$7,"",I346-J346))</f>
        <v/>
      </c>
      <c r="J347" s="423" t="str">
        <f>IF($B346="","",IF($B346+1&gt;'Qredits maandlasten'!$C$7,"",IF(B346&lt;'Investering &amp; Financiering'!$E$52-1,0,IF('Qredits maandlasten'!$C$10="Lineair",'Qredits maandlasten'!$H$4,IF('Qredits maandlasten'!$C$10="Annuïteit",IFERROR('Qredits maandlasten'!$H$4-K347,0),0)))))</f>
        <v/>
      </c>
      <c r="K347" s="423" t="str">
        <f>IF($B346="","",IF($B346+1&gt;'Qredits maandlasten'!$C$7,"",G347*I347*'Qredits maandlasten'!$C$8/12))</f>
        <v/>
      </c>
      <c r="L347" s="423" t="str">
        <f t="shared" si="27"/>
        <v/>
      </c>
      <c r="M347" s="423" t="str">
        <f t="shared" si="25"/>
        <v/>
      </c>
      <c r="N347" s="422"/>
      <c r="O347" s="424" t="str">
        <f>IF($B347="","",'Qredits maandlasten'!$C$8/12)</f>
        <v/>
      </c>
      <c r="P347" s="424" t="str">
        <f>IF($B347="","",'Qredits maandlasten'!$C$8/12*(POWER(1+'Qredits maandlasten'!$C$8/12,$B347-1+1)))</f>
        <v/>
      </c>
      <c r="Q347" s="424" t="str">
        <f t="shared" si="28"/>
        <v/>
      </c>
      <c r="R347" s="422"/>
      <c r="S347" s="423" t="str">
        <f t="shared" si="26"/>
        <v/>
      </c>
      <c r="T347" s="423" t="str">
        <f>IF(S347="","",J347/(POWER(1+'Qredits maandlasten'!$C$8/12,$B347-1+1)))</f>
        <v/>
      </c>
      <c r="U347" s="425" t="str">
        <f t="shared" si="29"/>
        <v/>
      </c>
      <c r="V347" s="423" t="str">
        <f>IF($B347="","",K347/(POWER(1+'Qredits maandlasten'!$C$8/12,$B347-1+1)))</f>
        <v/>
      </c>
      <c r="W347" s="422"/>
    </row>
    <row r="348" spans="1:23" s="427" customFormat="1" x14ac:dyDescent="0.2">
      <c r="A348" s="418"/>
      <c r="B348" s="419" t="str">
        <f>IF($B347="","",IF($B347+1&gt;'Qredits maandlasten'!$C$7,"",Schema!B347+1))</f>
        <v/>
      </c>
      <c r="C348" s="420" t="str">
        <f>IF($B347="","",IF($B347+1&gt;'Qredits maandlasten'!$C$7,"",EOMONTH(C347,0)+1))</f>
        <v/>
      </c>
      <c r="D348" s="418"/>
      <c r="E348" s="420" t="str">
        <f>IF($B347="","",IF($B347+1&gt;'Qredits maandlasten'!$C$7,"",F347+1))</f>
        <v/>
      </c>
      <c r="F348" s="420" t="str">
        <f>IF($B347="","",IF($B347+1&gt;'Qredits maandlasten'!$C$7,"",EOMONTH(C348,-1)))</f>
        <v/>
      </c>
      <c r="G348" s="421" t="str">
        <f>IF($B347="","",IF($B347+1&gt;'Qredits maandlasten'!$C$7,"",(_xlfn.DAYS(F348,E348)+1)/DAY(F348)))</f>
        <v/>
      </c>
      <c r="H348" s="422"/>
      <c r="I348" s="423" t="str">
        <f>IF($B347="","",IF($B347+1&gt;'Qredits maandlasten'!$C$7,"",I347-J347))</f>
        <v/>
      </c>
      <c r="J348" s="423" t="str">
        <f>IF($B347="","",IF($B347+1&gt;'Qredits maandlasten'!$C$7,"",IF(B347&lt;'Investering &amp; Financiering'!$E$52-1,0,IF('Qredits maandlasten'!$C$10="Lineair",'Qredits maandlasten'!$H$4,IF('Qredits maandlasten'!$C$10="Annuïteit",IFERROR('Qredits maandlasten'!$H$4-K348,0),0)))))</f>
        <v/>
      </c>
      <c r="K348" s="423" t="str">
        <f>IF($B347="","",IF($B347+1&gt;'Qredits maandlasten'!$C$7,"",G348*I348*'Qredits maandlasten'!$C$8/12))</f>
        <v/>
      </c>
      <c r="L348" s="423" t="str">
        <f t="shared" si="27"/>
        <v/>
      </c>
      <c r="M348" s="423" t="str">
        <f t="shared" si="25"/>
        <v/>
      </c>
      <c r="N348" s="422"/>
      <c r="O348" s="424" t="str">
        <f>IF($B348="","",'Qredits maandlasten'!$C$8/12)</f>
        <v/>
      </c>
      <c r="P348" s="424" t="str">
        <f>IF($B348="","",'Qredits maandlasten'!$C$8/12*(POWER(1+'Qredits maandlasten'!$C$8/12,$B348-1+1)))</f>
        <v/>
      </c>
      <c r="Q348" s="424" t="str">
        <f t="shared" si="28"/>
        <v/>
      </c>
      <c r="R348" s="422"/>
      <c r="S348" s="423" t="str">
        <f t="shared" si="26"/>
        <v/>
      </c>
      <c r="T348" s="423" t="str">
        <f>IF(S348="","",J348/(POWER(1+'Qredits maandlasten'!$C$8/12,$B348-1+1)))</f>
        <v/>
      </c>
      <c r="U348" s="425" t="str">
        <f t="shared" si="29"/>
        <v/>
      </c>
      <c r="V348" s="423" t="str">
        <f>IF($B348="","",K348/(POWER(1+'Qredits maandlasten'!$C$8/12,$B348-1+1)))</f>
        <v/>
      </c>
      <c r="W348" s="422"/>
    </row>
    <row r="349" spans="1:23" s="427" customFormat="1" x14ac:dyDescent="0.2">
      <c r="A349" s="418"/>
      <c r="B349" s="419" t="str">
        <f>IF($B348="","",IF($B348+1&gt;'Qredits maandlasten'!$C$7,"",Schema!B348+1))</f>
        <v/>
      </c>
      <c r="C349" s="420" t="str">
        <f>IF($B348="","",IF($B348+1&gt;'Qredits maandlasten'!$C$7,"",EOMONTH(C348,0)+1))</f>
        <v/>
      </c>
      <c r="D349" s="418"/>
      <c r="E349" s="420" t="str">
        <f>IF($B348="","",IF($B348+1&gt;'Qredits maandlasten'!$C$7,"",F348+1))</f>
        <v/>
      </c>
      <c r="F349" s="420" t="str">
        <f>IF($B348="","",IF($B348+1&gt;'Qredits maandlasten'!$C$7,"",EOMONTH(C349,-1)))</f>
        <v/>
      </c>
      <c r="G349" s="421" t="str">
        <f>IF($B348="","",IF($B348+1&gt;'Qredits maandlasten'!$C$7,"",(_xlfn.DAYS(F349,E349)+1)/DAY(F349)))</f>
        <v/>
      </c>
      <c r="H349" s="422"/>
      <c r="I349" s="423" t="str">
        <f>IF($B348="","",IF($B348+1&gt;'Qredits maandlasten'!$C$7,"",I348-J348))</f>
        <v/>
      </c>
      <c r="J349" s="423" t="str">
        <f>IF($B348="","",IF($B348+1&gt;'Qredits maandlasten'!$C$7,"",IF(B348&lt;'Investering &amp; Financiering'!$E$52-1,0,IF('Qredits maandlasten'!$C$10="Lineair",'Qredits maandlasten'!$H$4,IF('Qredits maandlasten'!$C$10="Annuïteit",IFERROR('Qredits maandlasten'!$H$4-K349,0),0)))))</f>
        <v/>
      </c>
      <c r="K349" s="423" t="str">
        <f>IF($B348="","",IF($B348+1&gt;'Qredits maandlasten'!$C$7,"",G349*I349*'Qredits maandlasten'!$C$8/12))</f>
        <v/>
      </c>
      <c r="L349" s="423" t="str">
        <f t="shared" si="27"/>
        <v/>
      </c>
      <c r="M349" s="423" t="str">
        <f t="shared" si="25"/>
        <v/>
      </c>
      <c r="N349" s="422"/>
      <c r="O349" s="424" t="str">
        <f>IF($B349="","",'Qredits maandlasten'!$C$8/12)</f>
        <v/>
      </c>
      <c r="P349" s="424" t="str">
        <f>IF($B349="","",'Qredits maandlasten'!$C$8/12*(POWER(1+'Qredits maandlasten'!$C$8/12,$B349-1+1)))</f>
        <v/>
      </c>
      <c r="Q349" s="424" t="str">
        <f t="shared" si="28"/>
        <v/>
      </c>
      <c r="R349" s="422"/>
      <c r="S349" s="423" t="str">
        <f t="shared" si="26"/>
        <v/>
      </c>
      <c r="T349" s="423" t="str">
        <f>IF(S349="","",J349/(POWER(1+'Qredits maandlasten'!$C$8/12,$B349-1+1)))</f>
        <v/>
      </c>
      <c r="U349" s="425" t="str">
        <f t="shared" si="29"/>
        <v/>
      </c>
      <c r="V349" s="423" t="str">
        <f>IF($B349="","",K349/(POWER(1+'Qredits maandlasten'!$C$8/12,$B349-1+1)))</f>
        <v/>
      </c>
      <c r="W349" s="422"/>
    </row>
    <row r="350" spans="1:23" s="427" customFormat="1" x14ac:dyDescent="0.2">
      <c r="A350" s="418"/>
      <c r="B350" s="419" t="str">
        <f>IF($B349="","",IF($B349+1&gt;'Qredits maandlasten'!$C$7,"",Schema!B349+1))</f>
        <v/>
      </c>
      <c r="C350" s="420" t="str">
        <f>IF($B349="","",IF($B349+1&gt;'Qredits maandlasten'!$C$7,"",EOMONTH(C349,0)+1))</f>
        <v/>
      </c>
      <c r="D350" s="418"/>
      <c r="E350" s="420" t="str">
        <f>IF($B349="","",IF($B349+1&gt;'Qredits maandlasten'!$C$7,"",F349+1))</f>
        <v/>
      </c>
      <c r="F350" s="420" t="str">
        <f>IF($B349="","",IF($B349+1&gt;'Qredits maandlasten'!$C$7,"",EOMONTH(C350,-1)))</f>
        <v/>
      </c>
      <c r="G350" s="421" t="str">
        <f>IF($B349="","",IF($B349+1&gt;'Qredits maandlasten'!$C$7,"",(_xlfn.DAYS(F350,E350)+1)/DAY(F350)))</f>
        <v/>
      </c>
      <c r="H350" s="422"/>
      <c r="I350" s="423" t="str">
        <f>IF($B349="","",IF($B349+1&gt;'Qredits maandlasten'!$C$7,"",I349-J349))</f>
        <v/>
      </c>
      <c r="J350" s="423" t="str">
        <f>IF($B349="","",IF($B349+1&gt;'Qredits maandlasten'!$C$7,"",IF(B349&lt;'Investering &amp; Financiering'!$E$52-1,0,IF('Qredits maandlasten'!$C$10="Lineair",'Qredits maandlasten'!$H$4,IF('Qredits maandlasten'!$C$10="Annuïteit",IFERROR('Qredits maandlasten'!$H$4-K350,0),0)))))</f>
        <v/>
      </c>
      <c r="K350" s="423" t="str">
        <f>IF($B349="","",IF($B349+1&gt;'Qredits maandlasten'!$C$7,"",G350*I350*'Qredits maandlasten'!$C$8/12))</f>
        <v/>
      </c>
      <c r="L350" s="423" t="str">
        <f t="shared" si="27"/>
        <v/>
      </c>
      <c r="M350" s="423" t="str">
        <f t="shared" si="25"/>
        <v/>
      </c>
      <c r="N350" s="422"/>
      <c r="O350" s="424" t="str">
        <f>IF($B350="","",'Qredits maandlasten'!$C$8/12)</f>
        <v/>
      </c>
      <c r="P350" s="424" t="str">
        <f>IF($B350="","",'Qredits maandlasten'!$C$8/12*(POWER(1+'Qredits maandlasten'!$C$8/12,$B350-1+1)))</f>
        <v/>
      </c>
      <c r="Q350" s="424" t="str">
        <f t="shared" si="28"/>
        <v/>
      </c>
      <c r="R350" s="422"/>
      <c r="S350" s="423" t="str">
        <f t="shared" si="26"/>
        <v/>
      </c>
      <c r="T350" s="423" t="str">
        <f>IF(S350="","",J350/(POWER(1+'Qredits maandlasten'!$C$8/12,$B350-1+1)))</f>
        <v/>
      </c>
      <c r="U350" s="425" t="str">
        <f t="shared" si="29"/>
        <v/>
      </c>
      <c r="V350" s="423" t="str">
        <f>IF($B350="","",K350/(POWER(1+'Qredits maandlasten'!$C$8/12,$B350-1+1)))</f>
        <v/>
      </c>
      <c r="W350" s="422"/>
    </row>
    <row r="351" spans="1:23" s="427" customFormat="1" x14ac:dyDescent="0.2">
      <c r="A351" s="418"/>
      <c r="B351" s="419" t="str">
        <f>IF($B350="","",IF($B350+1&gt;'Qredits maandlasten'!$C$7,"",Schema!B350+1))</f>
        <v/>
      </c>
      <c r="C351" s="420" t="str">
        <f>IF($B350="","",IF($B350+1&gt;'Qredits maandlasten'!$C$7,"",EOMONTH(C350,0)+1))</f>
        <v/>
      </c>
      <c r="D351" s="418"/>
      <c r="E351" s="420" t="str">
        <f>IF($B350="","",IF($B350+1&gt;'Qredits maandlasten'!$C$7,"",F350+1))</f>
        <v/>
      </c>
      <c r="F351" s="420" t="str">
        <f>IF($B350="","",IF($B350+1&gt;'Qredits maandlasten'!$C$7,"",EOMONTH(C351,-1)))</f>
        <v/>
      </c>
      <c r="G351" s="421" t="str">
        <f>IF($B350="","",IF($B350+1&gt;'Qredits maandlasten'!$C$7,"",(_xlfn.DAYS(F351,E351)+1)/DAY(F351)))</f>
        <v/>
      </c>
      <c r="H351" s="422"/>
      <c r="I351" s="423" t="str">
        <f>IF($B350="","",IF($B350+1&gt;'Qredits maandlasten'!$C$7,"",I350-J350))</f>
        <v/>
      </c>
      <c r="J351" s="423" t="str">
        <f>IF($B350="","",IF($B350+1&gt;'Qredits maandlasten'!$C$7,"",IF(B350&lt;'Investering &amp; Financiering'!$E$52-1,0,IF('Qredits maandlasten'!$C$10="Lineair",'Qredits maandlasten'!$H$4,IF('Qredits maandlasten'!$C$10="Annuïteit",IFERROR('Qredits maandlasten'!$H$4-K351,0),0)))))</f>
        <v/>
      </c>
      <c r="K351" s="423" t="str">
        <f>IF($B350="","",IF($B350+1&gt;'Qredits maandlasten'!$C$7,"",G351*I351*'Qredits maandlasten'!$C$8/12))</f>
        <v/>
      </c>
      <c r="L351" s="423" t="str">
        <f t="shared" si="27"/>
        <v/>
      </c>
      <c r="M351" s="423" t="str">
        <f t="shared" si="25"/>
        <v/>
      </c>
      <c r="N351" s="422"/>
      <c r="O351" s="424" t="str">
        <f>IF($B351="","",'Qredits maandlasten'!$C$8/12)</f>
        <v/>
      </c>
      <c r="P351" s="424" t="str">
        <f>IF($B351="","",'Qredits maandlasten'!$C$8/12*(POWER(1+'Qredits maandlasten'!$C$8/12,$B351-1+1)))</f>
        <v/>
      </c>
      <c r="Q351" s="424" t="str">
        <f t="shared" si="28"/>
        <v/>
      </c>
      <c r="R351" s="422"/>
      <c r="S351" s="423" t="str">
        <f t="shared" si="26"/>
        <v/>
      </c>
      <c r="T351" s="423" t="str">
        <f>IF(S351="","",J351/(POWER(1+'Qredits maandlasten'!$C$8/12,$B351-1+1)))</f>
        <v/>
      </c>
      <c r="U351" s="425" t="str">
        <f t="shared" si="29"/>
        <v/>
      </c>
      <c r="V351" s="423" t="str">
        <f>IF($B351="","",K351/(POWER(1+'Qredits maandlasten'!$C$8/12,$B351-1+1)))</f>
        <v/>
      </c>
      <c r="W351" s="422"/>
    </row>
    <row r="352" spans="1:23" s="427" customFormat="1" x14ac:dyDescent="0.2">
      <c r="A352" s="418"/>
      <c r="B352" s="419" t="str">
        <f>IF($B351="","",IF($B351+1&gt;'Qredits maandlasten'!$C$7,"",Schema!B351+1))</f>
        <v/>
      </c>
      <c r="C352" s="420" t="str">
        <f>IF($B351="","",IF($B351+1&gt;'Qredits maandlasten'!$C$7,"",EOMONTH(C351,0)+1))</f>
        <v/>
      </c>
      <c r="D352" s="418"/>
      <c r="E352" s="420" t="str">
        <f>IF($B351="","",IF($B351+1&gt;'Qredits maandlasten'!$C$7,"",F351+1))</f>
        <v/>
      </c>
      <c r="F352" s="420" t="str">
        <f>IF($B351="","",IF($B351+1&gt;'Qredits maandlasten'!$C$7,"",EOMONTH(C352,-1)))</f>
        <v/>
      </c>
      <c r="G352" s="421" t="str">
        <f>IF($B351="","",IF($B351+1&gt;'Qredits maandlasten'!$C$7,"",(_xlfn.DAYS(F352,E352)+1)/DAY(F352)))</f>
        <v/>
      </c>
      <c r="H352" s="422"/>
      <c r="I352" s="423" t="str">
        <f>IF($B351="","",IF($B351+1&gt;'Qredits maandlasten'!$C$7,"",I351-J351))</f>
        <v/>
      </c>
      <c r="J352" s="423" t="str">
        <f>IF($B351="","",IF($B351+1&gt;'Qredits maandlasten'!$C$7,"",IF(B351&lt;'Investering &amp; Financiering'!$E$52-1,0,IF('Qredits maandlasten'!$C$10="Lineair",'Qredits maandlasten'!$H$4,IF('Qredits maandlasten'!$C$10="Annuïteit",IFERROR('Qredits maandlasten'!$H$4-K352,0),0)))))</f>
        <v/>
      </c>
      <c r="K352" s="423" t="str">
        <f>IF($B351="","",IF($B351+1&gt;'Qredits maandlasten'!$C$7,"",G352*I352*'Qredits maandlasten'!$C$8/12))</f>
        <v/>
      </c>
      <c r="L352" s="423" t="str">
        <f t="shared" si="27"/>
        <v/>
      </c>
      <c r="M352" s="423" t="str">
        <f t="shared" si="25"/>
        <v/>
      </c>
      <c r="N352" s="422"/>
      <c r="O352" s="424" t="str">
        <f>IF($B352="","",'Qredits maandlasten'!$C$8/12)</f>
        <v/>
      </c>
      <c r="P352" s="424" t="str">
        <f>IF($B352="","",'Qredits maandlasten'!$C$8/12*(POWER(1+'Qredits maandlasten'!$C$8/12,$B352-1+1)))</f>
        <v/>
      </c>
      <c r="Q352" s="424" t="str">
        <f t="shared" si="28"/>
        <v/>
      </c>
      <c r="R352" s="422"/>
      <c r="S352" s="423" t="str">
        <f t="shared" si="26"/>
        <v/>
      </c>
      <c r="T352" s="423" t="str">
        <f>IF(S352="","",J352/(POWER(1+'Qredits maandlasten'!$C$8/12,$B352-1+1)))</f>
        <v/>
      </c>
      <c r="U352" s="425" t="str">
        <f t="shared" si="29"/>
        <v/>
      </c>
      <c r="V352" s="423" t="str">
        <f>IF($B352="","",K352/(POWER(1+'Qredits maandlasten'!$C$8/12,$B352-1+1)))</f>
        <v/>
      </c>
      <c r="W352" s="422"/>
    </row>
    <row r="353" spans="1:23" s="427" customFormat="1" x14ac:dyDescent="0.2">
      <c r="A353" s="418"/>
      <c r="B353" s="419" t="str">
        <f>IF($B352="","",IF($B352+1&gt;'Qredits maandlasten'!$C$7,"",Schema!B352+1))</f>
        <v/>
      </c>
      <c r="C353" s="420" t="str">
        <f>IF($B352="","",IF($B352+1&gt;'Qredits maandlasten'!$C$7,"",EOMONTH(C352,0)+1))</f>
        <v/>
      </c>
      <c r="D353" s="418"/>
      <c r="E353" s="420" t="str">
        <f>IF($B352="","",IF($B352+1&gt;'Qredits maandlasten'!$C$7,"",F352+1))</f>
        <v/>
      </c>
      <c r="F353" s="420" t="str">
        <f>IF($B352="","",IF($B352+1&gt;'Qredits maandlasten'!$C$7,"",EOMONTH(C353,-1)))</f>
        <v/>
      </c>
      <c r="G353" s="421" t="str">
        <f>IF($B352="","",IF($B352+1&gt;'Qredits maandlasten'!$C$7,"",(_xlfn.DAYS(F353,E353)+1)/DAY(F353)))</f>
        <v/>
      </c>
      <c r="H353" s="422"/>
      <c r="I353" s="423" t="str">
        <f>IF($B352="","",IF($B352+1&gt;'Qredits maandlasten'!$C$7,"",I352-J352))</f>
        <v/>
      </c>
      <c r="J353" s="423" t="str">
        <f>IF($B352="","",IF($B352+1&gt;'Qredits maandlasten'!$C$7,"",IF(B352&lt;'Investering &amp; Financiering'!$E$52-1,0,IF('Qredits maandlasten'!$C$10="Lineair",'Qredits maandlasten'!$H$4,IF('Qredits maandlasten'!$C$10="Annuïteit",IFERROR('Qredits maandlasten'!$H$4-K353,0),0)))))</f>
        <v/>
      </c>
      <c r="K353" s="423" t="str">
        <f>IF($B352="","",IF($B352+1&gt;'Qredits maandlasten'!$C$7,"",G353*I353*'Qredits maandlasten'!$C$8/12))</f>
        <v/>
      </c>
      <c r="L353" s="423" t="str">
        <f t="shared" si="27"/>
        <v/>
      </c>
      <c r="M353" s="423" t="str">
        <f t="shared" si="25"/>
        <v/>
      </c>
      <c r="N353" s="422"/>
      <c r="O353" s="424" t="str">
        <f>IF($B353="","",'Qredits maandlasten'!$C$8/12)</f>
        <v/>
      </c>
      <c r="P353" s="424" t="str">
        <f>IF($B353="","",'Qredits maandlasten'!$C$8/12*(POWER(1+'Qredits maandlasten'!$C$8/12,$B353-1+1)))</f>
        <v/>
      </c>
      <c r="Q353" s="424" t="str">
        <f t="shared" si="28"/>
        <v/>
      </c>
      <c r="R353" s="422"/>
      <c r="S353" s="423" t="str">
        <f t="shared" si="26"/>
        <v/>
      </c>
      <c r="T353" s="423" t="str">
        <f>IF(S353="","",J353/(POWER(1+'Qredits maandlasten'!$C$8/12,$B353-1+1)))</f>
        <v/>
      </c>
      <c r="U353" s="425" t="str">
        <f t="shared" si="29"/>
        <v/>
      </c>
      <c r="V353" s="423" t="str">
        <f>IF($B353="","",K353/(POWER(1+'Qredits maandlasten'!$C$8/12,$B353-1+1)))</f>
        <v/>
      </c>
      <c r="W353" s="422"/>
    </row>
    <row r="354" spans="1:23" s="427" customFormat="1" x14ac:dyDescent="0.2">
      <c r="A354" s="418"/>
      <c r="B354" s="419" t="str">
        <f>IF($B353="","",IF($B353+1&gt;'Qredits maandlasten'!$C$7,"",Schema!B353+1))</f>
        <v/>
      </c>
      <c r="C354" s="420" t="str">
        <f>IF($B353="","",IF($B353+1&gt;'Qredits maandlasten'!$C$7,"",EOMONTH(C353,0)+1))</f>
        <v/>
      </c>
      <c r="D354" s="418"/>
      <c r="E354" s="420" t="str">
        <f>IF($B353="","",IF($B353+1&gt;'Qredits maandlasten'!$C$7,"",F353+1))</f>
        <v/>
      </c>
      <c r="F354" s="420" t="str">
        <f>IF($B353="","",IF($B353+1&gt;'Qredits maandlasten'!$C$7,"",EOMONTH(C354,-1)))</f>
        <v/>
      </c>
      <c r="G354" s="421" t="str">
        <f>IF($B353="","",IF($B353+1&gt;'Qredits maandlasten'!$C$7,"",(_xlfn.DAYS(F354,E354)+1)/DAY(F354)))</f>
        <v/>
      </c>
      <c r="H354" s="422"/>
      <c r="I354" s="423" t="str">
        <f>IF($B353="","",IF($B353+1&gt;'Qredits maandlasten'!$C$7,"",I353-J353))</f>
        <v/>
      </c>
      <c r="J354" s="423" t="str">
        <f>IF($B353="","",IF($B353+1&gt;'Qredits maandlasten'!$C$7,"",IF(B353&lt;'Investering &amp; Financiering'!$E$52-1,0,IF('Qredits maandlasten'!$C$10="Lineair",'Qredits maandlasten'!$H$4,IF('Qredits maandlasten'!$C$10="Annuïteit",IFERROR('Qredits maandlasten'!$H$4-K354,0),0)))))</f>
        <v/>
      </c>
      <c r="K354" s="423" t="str">
        <f>IF($B353="","",IF($B353+1&gt;'Qredits maandlasten'!$C$7,"",G354*I354*'Qredits maandlasten'!$C$8/12))</f>
        <v/>
      </c>
      <c r="L354" s="423" t="str">
        <f t="shared" si="27"/>
        <v/>
      </c>
      <c r="M354" s="423" t="str">
        <f t="shared" si="25"/>
        <v/>
      </c>
      <c r="N354" s="422"/>
      <c r="O354" s="424" t="str">
        <f>IF($B354="","",'Qredits maandlasten'!$C$8/12)</f>
        <v/>
      </c>
      <c r="P354" s="424" t="str">
        <f>IF($B354="","",'Qredits maandlasten'!$C$8/12*(POWER(1+'Qredits maandlasten'!$C$8/12,$B354-1+1)))</f>
        <v/>
      </c>
      <c r="Q354" s="424" t="str">
        <f t="shared" si="28"/>
        <v/>
      </c>
      <c r="R354" s="422"/>
      <c r="S354" s="423" t="str">
        <f t="shared" si="26"/>
        <v/>
      </c>
      <c r="T354" s="423" t="str">
        <f>IF(S354="","",J354/(POWER(1+'Qredits maandlasten'!$C$8/12,$B354-1+1)))</f>
        <v/>
      </c>
      <c r="U354" s="425" t="str">
        <f t="shared" si="29"/>
        <v/>
      </c>
      <c r="V354" s="423" t="str">
        <f>IF($B354="","",K354/(POWER(1+'Qredits maandlasten'!$C$8/12,$B354-1+1)))</f>
        <v/>
      </c>
      <c r="W354" s="422"/>
    </row>
    <row r="355" spans="1:23" s="427" customFormat="1" x14ac:dyDescent="0.2">
      <c r="A355" s="418"/>
      <c r="B355" s="419" t="str">
        <f>IF($B354="","",IF($B354+1&gt;'Qredits maandlasten'!$C$7,"",Schema!B354+1))</f>
        <v/>
      </c>
      <c r="C355" s="420" t="str">
        <f>IF($B354="","",IF($B354+1&gt;'Qredits maandlasten'!$C$7,"",EOMONTH(C354,0)+1))</f>
        <v/>
      </c>
      <c r="D355" s="418"/>
      <c r="E355" s="420" t="str">
        <f>IF($B354="","",IF($B354+1&gt;'Qredits maandlasten'!$C$7,"",F354+1))</f>
        <v/>
      </c>
      <c r="F355" s="420" t="str">
        <f>IF($B354="","",IF($B354+1&gt;'Qredits maandlasten'!$C$7,"",EOMONTH(C355,-1)))</f>
        <v/>
      </c>
      <c r="G355" s="421" t="str">
        <f>IF($B354="","",IF($B354+1&gt;'Qredits maandlasten'!$C$7,"",(_xlfn.DAYS(F355,E355)+1)/DAY(F355)))</f>
        <v/>
      </c>
      <c r="H355" s="422"/>
      <c r="I355" s="423" t="str">
        <f>IF($B354="","",IF($B354+1&gt;'Qredits maandlasten'!$C$7,"",I354-J354))</f>
        <v/>
      </c>
      <c r="J355" s="423" t="str">
        <f>IF($B354="","",IF($B354+1&gt;'Qredits maandlasten'!$C$7,"",IF(B354&lt;'Investering &amp; Financiering'!$E$52-1,0,IF('Qredits maandlasten'!$C$10="Lineair",'Qredits maandlasten'!$H$4,IF('Qredits maandlasten'!$C$10="Annuïteit",IFERROR('Qredits maandlasten'!$H$4-K355,0),0)))))</f>
        <v/>
      </c>
      <c r="K355" s="423" t="str">
        <f>IF($B354="","",IF($B354+1&gt;'Qredits maandlasten'!$C$7,"",G355*I355*'Qredits maandlasten'!$C$8/12))</f>
        <v/>
      </c>
      <c r="L355" s="423" t="str">
        <f t="shared" si="27"/>
        <v/>
      </c>
      <c r="M355" s="423" t="str">
        <f t="shared" si="25"/>
        <v/>
      </c>
      <c r="N355" s="422"/>
      <c r="O355" s="424" t="str">
        <f>IF($B355="","",'Qredits maandlasten'!$C$8/12)</f>
        <v/>
      </c>
      <c r="P355" s="424" t="str">
        <f>IF($B355="","",'Qredits maandlasten'!$C$8/12*(POWER(1+'Qredits maandlasten'!$C$8/12,$B355-1+1)))</f>
        <v/>
      </c>
      <c r="Q355" s="424" t="str">
        <f t="shared" si="28"/>
        <v/>
      </c>
      <c r="R355" s="422"/>
      <c r="S355" s="423" t="str">
        <f t="shared" si="26"/>
        <v/>
      </c>
      <c r="T355" s="423" t="str">
        <f>IF(S355="","",J355/(POWER(1+'Qredits maandlasten'!$C$8/12,$B355-1+1)))</f>
        <v/>
      </c>
      <c r="U355" s="425" t="str">
        <f t="shared" si="29"/>
        <v/>
      </c>
      <c r="V355" s="423" t="str">
        <f>IF($B355="","",K355/(POWER(1+'Qredits maandlasten'!$C$8/12,$B355-1+1)))</f>
        <v/>
      </c>
      <c r="W355" s="422"/>
    </row>
    <row r="356" spans="1:23" s="427" customFormat="1" x14ac:dyDescent="0.2">
      <c r="A356" s="418"/>
      <c r="B356" s="419" t="str">
        <f>IF($B355="","",IF($B355+1&gt;'Qredits maandlasten'!$C$7,"",Schema!B355+1))</f>
        <v/>
      </c>
      <c r="C356" s="420" t="str">
        <f>IF($B355="","",IF($B355+1&gt;'Qredits maandlasten'!$C$7,"",EOMONTH(C355,0)+1))</f>
        <v/>
      </c>
      <c r="D356" s="418"/>
      <c r="E356" s="420" t="str">
        <f>IF($B355="","",IF($B355+1&gt;'Qredits maandlasten'!$C$7,"",F355+1))</f>
        <v/>
      </c>
      <c r="F356" s="420" t="str">
        <f>IF($B355="","",IF($B355+1&gt;'Qredits maandlasten'!$C$7,"",EOMONTH(C356,-1)))</f>
        <v/>
      </c>
      <c r="G356" s="421" t="str">
        <f>IF($B355="","",IF($B355+1&gt;'Qredits maandlasten'!$C$7,"",(_xlfn.DAYS(F356,E356)+1)/DAY(F356)))</f>
        <v/>
      </c>
      <c r="H356" s="422"/>
      <c r="I356" s="423" t="str">
        <f>IF($B355="","",IF($B355+1&gt;'Qredits maandlasten'!$C$7,"",I355-J355))</f>
        <v/>
      </c>
      <c r="J356" s="423" t="str">
        <f>IF($B355="","",IF($B355+1&gt;'Qredits maandlasten'!$C$7,"",IF(B355&lt;'Investering &amp; Financiering'!$E$52-1,0,IF('Qredits maandlasten'!$C$10="Lineair",'Qredits maandlasten'!$H$4,IF('Qredits maandlasten'!$C$10="Annuïteit",IFERROR('Qredits maandlasten'!$H$4-K356,0),0)))))</f>
        <v/>
      </c>
      <c r="K356" s="423" t="str">
        <f>IF($B355="","",IF($B355+1&gt;'Qredits maandlasten'!$C$7,"",G356*I356*'Qredits maandlasten'!$C$8/12))</f>
        <v/>
      </c>
      <c r="L356" s="423" t="str">
        <f t="shared" si="27"/>
        <v/>
      </c>
      <c r="M356" s="423" t="str">
        <f t="shared" si="25"/>
        <v/>
      </c>
      <c r="N356" s="422"/>
      <c r="O356" s="424" t="str">
        <f>IF($B356="","",'Qredits maandlasten'!$C$8/12)</f>
        <v/>
      </c>
      <c r="P356" s="424" t="str">
        <f>IF($B356="","",'Qredits maandlasten'!$C$8/12*(POWER(1+'Qredits maandlasten'!$C$8/12,$B356-1+1)))</f>
        <v/>
      </c>
      <c r="Q356" s="424" t="str">
        <f t="shared" si="28"/>
        <v/>
      </c>
      <c r="R356" s="422"/>
      <c r="S356" s="423" t="str">
        <f t="shared" si="26"/>
        <v/>
      </c>
      <c r="T356" s="423" t="str">
        <f>IF(S356="","",J356/(POWER(1+'Qredits maandlasten'!$C$8/12,$B356-1+1)))</f>
        <v/>
      </c>
      <c r="U356" s="425" t="str">
        <f t="shared" si="29"/>
        <v/>
      </c>
      <c r="V356" s="423" t="str">
        <f>IF($B356="","",K356/(POWER(1+'Qredits maandlasten'!$C$8/12,$B356-1+1)))</f>
        <v/>
      </c>
      <c r="W356" s="422"/>
    </row>
    <row r="357" spans="1:23" s="427" customFormat="1" x14ac:dyDescent="0.2">
      <c r="A357" s="418"/>
      <c r="B357" s="419" t="str">
        <f>IF($B356="","",IF($B356+1&gt;'Qredits maandlasten'!$C$7,"",Schema!B356+1))</f>
        <v/>
      </c>
      <c r="C357" s="420" t="str">
        <f>IF($B356="","",IF($B356+1&gt;'Qredits maandlasten'!$C$7,"",EOMONTH(C356,0)+1))</f>
        <v/>
      </c>
      <c r="D357" s="418"/>
      <c r="E357" s="420" t="str">
        <f>IF($B356="","",IF($B356+1&gt;'Qredits maandlasten'!$C$7,"",F356+1))</f>
        <v/>
      </c>
      <c r="F357" s="420" t="str">
        <f>IF($B356="","",IF($B356+1&gt;'Qredits maandlasten'!$C$7,"",EOMONTH(C357,-1)))</f>
        <v/>
      </c>
      <c r="G357" s="421" t="str">
        <f>IF($B356="","",IF($B356+1&gt;'Qredits maandlasten'!$C$7,"",(_xlfn.DAYS(F357,E357)+1)/DAY(F357)))</f>
        <v/>
      </c>
      <c r="H357" s="422"/>
      <c r="I357" s="423" t="str">
        <f>IF($B356="","",IF($B356+1&gt;'Qredits maandlasten'!$C$7,"",I356-J356))</f>
        <v/>
      </c>
      <c r="J357" s="423" t="str">
        <f>IF($B356="","",IF($B356+1&gt;'Qredits maandlasten'!$C$7,"",IF(B356&lt;'Investering &amp; Financiering'!$E$52-1,0,IF('Qredits maandlasten'!$C$10="Lineair",'Qredits maandlasten'!$H$4,IF('Qredits maandlasten'!$C$10="Annuïteit",IFERROR('Qredits maandlasten'!$H$4-K357,0),0)))))</f>
        <v/>
      </c>
      <c r="K357" s="423" t="str">
        <f>IF($B356="","",IF($B356+1&gt;'Qredits maandlasten'!$C$7,"",G357*I357*'Qredits maandlasten'!$C$8/12))</f>
        <v/>
      </c>
      <c r="L357" s="423" t="str">
        <f t="shared" si="27"/>
        <v/>
      </c>
      <c r="M357" s="423" t="str">
        <f t="shared" si="25"/>
        <v/>
      </c>
      <c r="N357" s="422"/>
      <c r="O357" s="424" t="str">
        <f>IF($B357="","",'Qredits maandlasten'!$C$8/12)</f>
        <v/>
      </c>
      <c r="P357" s="424" t="str">
        <f>IF($B357="","",'Qredits maandlasten'!$C$8/12*(POWER(1+'Qredits maandlasten'!$C$8/12,$B357-1+1)))</f>
        <v/>
      </c>
      <c r="Q357" s="424" t="str">
        <f t="shared" si="28"/>
        <v/>
      </c>
      <c r="R357" s="422"/>
      <c r="S357" s="423" t="str">
        <f t="shared" si="26"/>
        <v/>
      </c>
      <c r="T357" s="423" t="str">
        <f>IF(S357="","",J357/(POWER(1+'Qredits maandlasten'!$C$8/12,$B357-1+1)))</f>
        <v/>
      </c>
      <c r="U357" s="425" t="str">
        <f t="shared" si="29"/>
        <v/>
      </c>
      <c r="V357" s="423" t="str">
        <f>IF($B357="","",K357/(POWER(1+'Qredits maandlasten'!$C$8/12,$B357-1+1)))</f>
        <v/>
      </c>
      <c r="W357" s="422"/>
    </row>
    <row r="358" spans="1:23" s="427" customFormat="1" x14ac:dyDescent="0.2">
      <c r="A358" s="418"/>
      <c r="B358" s="419" t="str">
        <f>IF($B357="","",IF($B357+1&gt;'Qredits maandlasten'!$C$7,"",Schema!B357+1))</f>
        <v/>
      </c>
      <c r="C358" s="420" t="str">
        <f>IF($B357="","",IF($B357+1&gt;'Qredits maandlasten'!$C$7,"",EOMONTH(C357,0)+1))</f>
        <v/>
      </c>
      <c r="D358" s="418"/>
      <c r="E358" s="420" t="str">
        <f>IF($B357="","",IF($B357+1&gt;'Qredits maandlasten'!$C$7,"",F357+1))</f>
        <v/>
      </c>
      <c r="F358" s="420" t="str">
        <f>IF($B357="","",IF($B357+1&gt;'Qredits maandlasten'!$C$7,"",EOMONTH(C358,-1)))</f>
        <v/>
      </c>
      <c r="G358" s="421" t="str">
        <f>IF($B357="","",IF($B357+1&gt;'Qredits maandlasten'!$C$7,"",(_xlfn.DAYS(F358,E358)+1)/DAY(F358)))</f>
        <v/>
      </c>
      <c r="H358" s="422"/>
      <c r="I358" s="423" t="str">
        <f>IF($B357="","",IF($B357+1&gt;'Qredits maandlasten'!$C$7,"",I357-J357))</f>
        <v/>
      </c>
      <c r="J358" s="423" t="str">
        <f>IF($B357="","",IF($B357+1&gt;'Qredits maandlasten'!$C$7,"",IF(B357&lt;'Investering &amp; Financiering'!$E$52-1,0,IF('Qredits maandlasten'!$C$10="Lineair",'Qredits maandlasten'!$H$4,IF('Qredits maandlasten'!$C$10="Annuïteit",IFERROR('Qredits maandlasten'!$H$4-K358,0),0)))))</f>
        <v/>
      </c>
      <c r="K358" s="423" t="str">
        <f>IF($B357="","",IF($B357+1&gt;'Qredits maandlasten'!$C$7,"",G358*I358*'Qredits maandlasten'!$C$8/12))</f>
        <v/>
      </c>
      <c r="L358" s="423" t="str">
        <f t="shared" si="27"/>
        <v/>
      </c>
      <c r="M358" s="423" t="str">
        <f t="shared" si="25"/>
        <v/>
      </c>
      <c r="N358" s="422"/>
      <c r="O358" s="424" t="str">
        <f>IF($B358="","",'Qredits maandlasten'!$C$8/12)</f>
        <v/>
      </c>
      <c r="P358" s="424" t="str">
        <f>IF($B358="","",'Qredits maandlasten'!$C$8/12*(POWER(1+'Qredits maandlasten'!$C$8/12,$B358-1+1)))</f>
        <v/>
      </c>
      <c r="Q358" s="424" t="str">
        <f t="shared" si="28"/>
        <v/>
      </c>
      <c r="R358" s="422"/>
      <c r="S358" s="423" t="str">
        <f t="shared" si="26"/>
        <v/>
      </c>
      <c r="T358" s="423" t="str">
        <f>IF(S358="","",J358/(POWER(1+'Qredits maandlasten'!$C$8/12,$B358-1+1)))</f>
        <v/>
      </c>
      <c r="U358" s="425" t="str">
        <f t="shared" si="29"/>
        <v/>
      </c>
      <c r="V358" s="423" t="str">
        <f>IF($B358="","",K358/(POWER(1+'Qredits maandlasten'!$C$8/12,$B358-1+1)))</f>
        <v/>
      </c>
      <c r="W358" s="422"/>
    </row>
    <row r="359" spans="1:23" s="427" customFormat="1" x14ac:dyDescent="0.2">
      <c r="A359" s="418"/>
      <c r="B359" s="419" t="str">
        <f>IF($B358="","",IF($B358+1&gt;'Qredits maandlasten'!$C$7,"",Schema!B358+1))</f>
        <v/>
      </c>
      <c r="C359" s="420" t="str">
        <f>IF($B358="","",IF($B358+1&gt;'Qredits maandlasten'!$C$7,"",EOMONTH(C358,0)+1))</f>
        <v/>
      </c>
      <c r="D359" s="418"/>
      <c r="E359" s="420" t="str">
        <f>IF($B358="","",IF($B358+1&gt;'Qredits maandlasten'!$C$7,"",F358+1))</f>
        <v/>
      </c>
      <c r="F359" s="420" t="str">
        <f>IF($B358="","",IF($B358+1&gt;'Qredits maandlasten'!$C$7,"",EOMONTH(C359,-1)))</f>
        <v/>
      </c>
      <c r="G359" s="421" t="str">
        <f>IF($B358="","",IF($B358+1&gt;'Qredits maandlasten'!$C$7,"",(_xlfn.DAYS(F359,E359)+1)/DAY(F359)))</f>
        <v/>
      </c>
      <c r="H359" s="422"/>
      <c r="I359" s="423" t="str">
        <f>IF($B358="","",IF($B358+1&gt;'Qredits maandlasten'!$C$7,"",I358-J358))</f>
        <v/>
      </c>
      <c r="J359" s="423" t="str">
        <f>IF($B358="","",IF($B358+1&gt;'Qredits maandlasten'!$C$7,"",IF(B358&lt;'Investering &amp; Financiering'!$E$52-1,0,IF('Qredits maandlasten'!$C$10="Lineair",'Qredits maandlasten'!$H$4,IF('Qredits maandlasten'!$C$10="Annuïteit",IFERROR('Qredits maandlasten'!$H$4-K359,0),0)))))</f>
        <v/>
      </c>
      <c r="K359" s="423" t="str">
        <f>IF($B358="","",IF($B358+1&gt;'Qredits maandlasten'!$C$7,"",G359*I359*'Qredits maandlasten'!$C$8/12))</f>
        <v/>
      </c>
      <c r="L359" s="423" t="str">
        <f t="shared" si="27"/>
        <v/>
      </c>
      <c r="M359" s="423" t="str">
        <f t="shared" si="25"/>
        <v/>
      </c>
      <c r="N359" s="422"/>
      <c r="O359" s="424" t="str">
        <f>IF($B359="","",'Qredits maandlasten'!$C$8/12)</f>
        <v/>
      </c>
      <c r="P359" s="424" t="str">
        <f>IF($B359="","",'Qredits maandlasten'!$C$8/12*(POWER(1+'Qredits maandlasten'!$C$8/12,$B359-1+1)))</f>
        <v/>
      </c>
      <c r="Q359" s="424" t="str">
        <f t="shared" si="28"/>
        <v/>
      </c>
      <c r="R359" s="422"/>
      <c r="S359" s="423" t="str">
        <f t="shared" si="26"/>
        <v/>
      </c>
      <c r="T359" s="423" t="str">
        <f>IF(S359="","",J359/(POWER(1+'Qredits maandlasten'!$C$8/12,$B359-1+1)))</f>
        <v/>
      </c>
      <c r="U359" s="425" t="str">
        <f t="shared" si="29"/>
        <v/>
      </c>
      <c r="V359" s="423" t="str">
        <f>IF($B359="","",K359/(POWER(1+'Qredits maandlasten'!$C$8/12,$B359-1+1)))</f>
        <v/>
      </c>
      <c r="W359" s="422"/>
    </row>
    <row r="360" spans="1:23" s="427" customFormat="1" x14ac:dyDescent="0.2">
      <c r="A360" s="418"/>
      <c r="B360" s="419" t="str">
        <f>IF($B359="","",IF($B359+1&gt;'Qredits maandlasten'!$C$7,"",Schema!B359+1))</f>
        <v/>
      </c>
      <c r="C360" s="420" t="str">
        <f>IF($B359="","",IF($B359+1&gt;'Qredits maandlasten'!$C$7,"",EOMONTH(C359,0)+1))</f>
        <v/>
      </c>
      <c r="D360" s="418"/>
      <c r="E360" s="420" t="str">
        <f>IF($B359="","",IF($B359+1&gt;'Qredits maandlasten'!$C$7,"",F359+1))</f>
        <v/>
      </c>
      <c r="F360" s="420" t="str">
        <f>IF($B359="","",IF($B359+1&gt;'Qredits maandlasten'!$C$7,"",EOMONTH(C360,-1)))</f>
        <v/>
      </c>
      <c r="G360" s="421" t="str">
        <f>IF($B359="","",IF($B359+1&gt;'Qredits maandlasten'!$C$7,"",(_xlfn.DAYS(F360,E360)+1)/DAY(F360)))</f>
        <v/>
      </c>
      <c r="H360" s="422"/>
      <c r="I360" s="423" t="str">
        <f>IF($B359="","",IF($B359+1&gt;'Qredits maandlasten'!$C$7,"",I359-J359))</f>
        <v/>
      </c>
      <c r="J360" s="423" t="str">
        <f>IF($B359="","",IF($B359+1&gt;'Qredits maandlasten'!$C$7,"",IF(B359&lt;'Investering &amp; Financiering'!$E$52-1,0,IF('Qredits maandlasten'!$C$10="Lineair",'Qredits maandlasten'!$H$4,IF('Qredits maandlasten'!$C$10="Annuïteit",IFERROR('Qredits maandlasten'!$H$4-K360,0),0)))))</f>
        <v/>
      </c>
      <c r="K360" s="423" t="str">
        <f>IF($B359="","",IF($B359+1&gt;'Qredits maandlasten'!$C$7,"",G360*I360*'Qredits maandlasten'!$C$8/12))</f>
        <v/>
      </c>
      <c r="L360" s="423" t="str">
        <f t="shared" si="27"/>
        <v/>
      </c>
      <c r="M360" s="423" t="str">
        <f t="shared" si="25"/>
        <v/>
      </c>
      <c r="N360" s="422"/>
      <c r="O360" s="424" t="str">
        <f>IF($B360="","",'Qredits maandlasten'!$C$8/12)</f>
        <v/>
      </c>
      <c r="P360" s="424" t="str">
        <f>IF($B360="","",'Qredits maandlasten'!$C$8/12*(POWER(1+'Qredits maandlasten'!$C$8/12,$B360-1+1)))</f>
        <v/>
      </c>
      <c r="Q360" s="424" t="str">
        <f t="shared" si="28"/>
        <v/>
      </c>
      <c r="R360" s="422"/>
      <c r="S360" s="423" t="str">
        <f t="shared" si="26"/>
        <v/>
      </c>
      <c r="T360" s="423" t="str">
        <f>IF(S360="","",J360/(POWER(1+'Qredits maandlasten'!$C$8/12,$B360-1+1)))</f>
        <v/>
      </c>
      <c r="U360" s="425" t="str">
        <f t="shared" si="29"/>
        <v/>
      </c>
      <c r="V360" s="423" t="str">
        <f>IF($B360="","",K360/(POWER(1+'Qredits maandlasten'!$C$8/12,$B360-1+1)))</f>
        <v/>
      </c>
      <c r="W360" s="422"/>
    </row>
    <row r="361" spans="1:23" s="427" customFormat="1" x14ac:dyDescent="0.2">
      <c r="A361" s="418"/>
      <c r="B361" s="419" t="str">
        <f>IF($B360="","",IF($B360+1&gt;'Qredits maandlasten'!$C$7,"",Schema!B360+1))</f>
        <v/>
      </c>
      <c r="C361" s="420" t="str">
        <f>IF($B360="","",IF($B360+1&gt;'Qredits maandlasten'!$C$7,"",EOMONTH(C360,0)+1))</f>
        <v/>
      </c>
      <c r="D361" s="418"/>
      <c r="E361" s="420" t="str">
        <f>IF($B360="","",IF($B360+1&gt;'Qredits maandlasten'!$C$7,"",F360+1))</f>
        <v/>
      </c>
      <c r="F361" s="420" t="str">
        <f>IF($B360="","",IF($B360+1&gt;'Qredits maandlasten'!$C$7,"",EOMONTH(C361,-1)))</f>
        <v/>
      </c>
      <c r="G361" s="421" t="str">
        <f>IF($B360="","",IF($B360+1&gt;'Qredits maandlasten'!$C$7,"",(_xlfn.DAYS(F361,E361)+1)/DAY(F361)))</f>
        <v/>
      </c>
      <c r="H361" s="422"/>
      <c r="I361" s="423" t="str">
        <f>IF($B360="","",IF($B360+1&gt;'Qredits maandlasten'!$C$7,"",I360-J360))</f>
        <v/>
      </c>
      <c r="J361" s="423" t="str">
        <f>IF($B360="","",IF($B360+1&gt;'Qredits maandlasten'!$C$7,"",IF(B360&lt;'Investering &amp; Financiering'!$E$52-1,0,IF('Qredits maandlasten'!$C$10="Lineair",'Qredits maandlasten'!$H$4,IF('Qredits maandlasten'!$C$10="Annuïteit",IFERROR('Qredits maandlasten'!$H$4-K361,0),0)))))</f>
        <v/>
      </c>
      <c r="K361" s="423" t="str">
        <f>IF($B360="","",IF($B360+1&gt;'Qredits maandlasten'!$C$7,"",G361*I361*'Qredits maandlasten'!$C$8/12))</f>
        <v/>
      </c>
      <c r="L361" s="423" t="str">
        <f t="shared" si="27"/>
        <v/>
      </c>
      <c r="M361" s="423" t="str">
        <f t="shared" si="25"/>
        <v/>
      </c>
      <c r="N361" s="422"/>
      <c r="O361" s="424" t="str">
        <f>IF($B361="","",'Qredits maandlasten'!$C$8/12)</f>
        <v/>
      </c>
      <c r="P361" s="424" t="str">
        <f>IF($B361="","",'Qredits maandlasten'!$C$8/12*(POWER(1+'Qredits maandlasten'!$C$8/12,$B361-1+1)))</f>
        <v/>
      </c>
      <c r="Q361" s="424" t="str">
        <f t="shared" si="28"/>
        <v/>
      </c>
      <c r="R361" s="422"/>
      <c r="S361" s="423" t="str">
        <f t="shared" si="26"/>
        <v/>
      </c>
      <c r="T361" s="423" t="str">
        <f>IF(S361="","",J361/(POWER(1+'Qredits maandlasten'!$C$8/12,$B361-1+1)))</f>
        <v/>
      </c>
      <c r="U361" s="425" t="str">
        <f t="shared" si="29"/>
        <v/>
      </c>
      <c r="V361" s="423" t="str">
        <f>IF($B361="","",K361/(POWER(1+'Qredits maandlasten'!$C$8/12,$B361-1+1)))</f>
        <v/>
      </c>
      <c r="W361" s="422"/>
    </row>
    <row r="362" spans="1:23" s="427" customFormat="1" x14ac:dyDescent="0.2">
      <c r="A362" s="418"/>
      <c r="B362" s="419" t="str">
        <f>IF($B361="","",IF($B361+1&gt;'Qredits maandlasten'!$C$7,"",Schema!B361+1))</f>
        <v/>
      </c>
      <c r="C362" s="420" t="str">
        <f>IF($B361="","",IF($B361+1&gt;'Qredits maandlasten'!$C$7,"",EOMONTH(C361,0)+1))</f>
        <v/>
      </c>
      <c r="D362" s="418"/>
      <c r="E362" s="420" t="str">
        <f>IF($B361="","",IF($B361+1&gt;'Qredits maandlasten'!$C$7,"",F361+1))</f>
        <v/>
      </c>
      <c r="F362" s="420" t="str">
        <f>IF($B361="","",IF($B361+1&gt;'Qredits maandlasten'!$C$7,"",EOMONTH(C362,-1)))</f>
        <v/>
      </c>
      <c r="G362" s="421" t="str">
        <f>IF($B361="","",IF($B361+1&gt;'Qredits maandlasten'!$C$7,"",(_xlfn.DAYS(F362,E362)+1)/DAY(F362)))</f>
        <v/>
      </c>
      <c r="H362" s="422"/>
      <c r="I362" s="423" t="str">
        <f>IF($B361="","",IF($B361+1&gt;'Qredits maandlasten'!$C$7,"",I361-J361))</f>
        <v/>
      </c>
      <c r="J362" s="423" t="str">
        <f>IF($B361="","",IF($B361+1&gt;'Qredits maandlasten'!$C$7,"",IF(B361&lt;'Investering &amp; Financiering'!$E$52-1,0,IF('Qredits maandlasten'!$C$10="Lineair",'Qredits maandlasten'!$H$4,IF('Qredits maandlasten'!$C$10="Annuïteit",IFERROR('Qredits maandlasten'!$H$4-K362,0),0)))))</f>
        <v/>
      </c>
      <c r="K362" s="423" t="str">
        <f>IF($B361="","",IF($B361+1&gt;'Qredits maandlasten'!$C$7,"",G362*I362*'Qredits maandlasten'!$C$8/12))</f>
        <v/>
      </c>
      <c r="L362" s="423" t="str">
        <f t="shared" si="27"/>
        <v/>
      </c>
      <c r="M362" s="423" t="str">
        <f t="shared" si="25"/>
        <v/>
      </c>
      <c r="N362" s="422"/>
      <c r="O362" s="424" t="str">
        <f>IF($B362="","",'Qredits maandlasten'!$C$8/12)</f>
        <v/>
      </c>
      <c r="P362" s="424" t="str">
        <f>IF($B362="","",'Qredits maandlasten'!$C$8/12*(POWER(1+'Qredits maandlasten'!$C$8/12,$B362-1+1)))</f>
        <v/>
      </c>
      <c r="Q362" s="424" t="str">
        <f t="shared" si="28"/>
        <v/>
      </c>
      <c r="R362" s="422"/>
      <c r="S362" s="423" t="str">
        <f t="shared" si="26"/>
        <v/>
      </c>
      <c r="T362" s="423" t="str">
        <f>IF(S362="","",J362/(POWER(1+'Qredits maandlasten'!$C$8/12,$B362-1+1)))</f>
        <v/>
      </c>
      <c r="U362" s="425" t="str">
        <f t="shared" si="29"/>
        <v/>
      </c>
      <c r="V362" s="423" t="str">
        <f>IF($B362="","",K362/(POWER(1+'Qredits maandlasten'!$C$8/12,$B362-1+1)))</f>
        <v/>
      </c>
      <c r="W362" s="422"/>
    </row>
    <row r="363" spans="1:23" s="427" customFormat="1" x14ac:dyDescent="0.2">
      <c r="A363" s="418"/>
      <c r="B363" s="419" t="str">
        <f>IF($B362="","",IF($B362+1&gt;'Qredits maandlasten'!$C$7,"",Schema!B362+1))</f>
        <v/>
      </c>
      <c r="C363" s="420" t="str">
        <f>IF($B362="","",IF($B362+1&gt;'Qredits maandlasten'!$C$7,"",EOMONTH(C362,0)+1))</f>
        <v/>
      </c>
      <c r="D363" s="418"/>
      <c r="E363" s="420" t="str">
        <f>IF($B362="","",IF($B362+1&gt;'Qredits maandlasten'!$C$7,"",F362+1))</f>
        <v/>
      </c>
      <c r="F363" s="420" t="str">
        <f>IF($B362="","",IF($B362+1&gt;'Qredits maandlasten'!$C$7,"",EOMONTH(C363,-1)))</f>
        <v/>
      </c>
      <c r="G363" s="421" t="str">
        <f>IF($B362="","",IF($B362+1&gt;'Qredits maandlasten'!$C$7,"",(_xlfn.DAYS(F363,E363)+1)/DAY(F363)))</f>
        <v/>
      </c>
      <c r="H363" s="422"/>
      <c r="I363" s="423" t="str">
        <f>IF($B362="","",IF($B362+1&gt;'Qredits maandlasten'!$C$7,"",I362-J362))</f>
        <v/>
      </c>
      <c r="J363" s="423" t="str">
        <f>IF($B362="","",IF($B362+1&gt;'Qredits maandlasten'!$C$7,"",IF(B362&lt;'Investering &amp; Financiering'!$E$52-1,0,IF('Qredits maandlasten'!$C$10="Lineair",'Qredits maandlasten'!$H$4,IF('Qredits maandlasten'!$C$10="Annuïteit",IFERROR('Qredits maandlasten'!$H$4-K363,0),0)))))</f>
        <v/>
      </c>
      <c r="K363" s="423" t="str">
        <f>IF($B362="","",IF($B362+1&gt;'Qredits maandlasten'!$C$7,"",G363*I363*'Qredits maandlasten'!$C$8/12))</f>
        <v/>
      </c>
      <c r="L363" s="423" t="str">
        <f t="shared" si="27"/>
        <v/>
      </c>
      <c r="M363" s="423" t="str">
        <f t="shared" si="25"/>
        <v/>
      </c>
      <c r="N363" s="422"/>
      <c r="O363" s="424" t="str">
        <f>IF($B363="","",'Qredits maandlasten'!$C$8/12)</f>
        <v/>
      </c>
      <c r="P363" s="424" t="str">
        <f>IF($B363="","",'Qredits maandlasten'!$C$8/12*(POWER(1+'Qredits maandlasten'!$C$8/12,$B363-1+1)))</f>
        <v/>
      </c>
      <c r="Q363" s="424" t="str">
        <f t="shared" si="28"/>
        <v/>
      </c>
      <c r="R363" s="422"/>
      <c r="S363" s="423" t="str">
        <f t="shared" si="26"/>
        <v/>
      </c>
      <c r="T363" s="423" t="str">
        <f>IF(S363="","",J363/(POWER(1+'Qredits maandlasten'!$C$8/12,$B363-1+1)))</f>
        <v/>
      </c>
      <c r="U363" s="425" t="str">
        <f t="shared" si="29"/>
        <v/>
      </c>
      <c r="V363" s="423" t="str">
        <f>IF($B363="","",K363/(POWER(1+'Qredits maandlasten'!$C$8/12,$B363-1+1)))</f>
        <v/>
      </c>
      <c r="W363" s="422"/>
    </row>
    <row r="364" spans="1:23" s="427" customFormat="1" x14ac:dyDescent="0.2">
      <c r="A364" s="418"/>
      <c r="B364" s="419" t="str">
        <f>IF($B363="","",IF($B363+1&gt;'Qredits maandlasten'!$C$7,"",Schema!B363+1))</f>
        <v/>
      </c>
      <c r="C364" s="420" t="str">
        <f>IF($B363="","",IF($B363+1&gt;'Qredits maandlasten'!$C$7,"",EOMONTH(C363,0)+1))</f>
        <v/>
      </c>
      <c r="D364" s="418"/>
      <c r="E364" s="420" t="str">
        <f>IF($B363="","",IF($B363+1&gt;'Qredits maandlasten'!$C$7,"",F363+1))</f>
        <v/>
      </c>
      <c r="F364" s="420" t="str">
        <f>IF($B363="","",IF($B363+1&gt;'Qredits maandlasten'!$C$7,"",EOMONTH(C364,-1)))</f>
        <v/>
      </c>
      <c r="G364" s="421" t="str">
        <f>IF($B363="","",IF($B363+1&gt;'Qredits maandlasten'!$C$7,"",(_xlfn.DAYS(F364,E364)+1)/DAY(F364)))</f>
        <v/>
      </c>
      <c r="H364" s="422"/>
      <c r="I364" s="423" t="str">
        <f>IF($B363="","",IF($B363+1&gt;'Qredits maandlasten'!$C$7,"",I363-J363))</f>
        <v/>
      </c>
      <c r="J364" s="423" t="str">
        <f>IF($B363="","",IF($B363+1&gt;'Qredits maandlasten'!$C$7,"",IF(B363&lt;'Investering &amp; Financiering'!$E$52-1,0,IF('Qredits maandlasten'!$C$10="Lineair",'Qredits maandlasten'!$H$4,IF('Qredits maandlasten'!$C$10="Annuïteit",IFERROR('Qredits maandlasten'!$H$4-K364,0),0)))))</f>
        <v/>
      </c>
      <c r="K364" s="423" t="str">
        <f>IF($B363="","",IF($B363+1&gt;'Qredits maandlasten'!$C$7,"",G364*I364*'Qredits maandlasten'!$C$8/12))</f>
        <v/>
      </c>
      <c r="L364" s="423" t="str">
        <f t="shared" si="27"/>
        <v/>
      </c>
      <c r="M364" s="423" t="str">
        <f t="shared" si="25"/>
        <v/>
      </c>
      <c r="N364" s="422"/>
      <c r="O364" s="424" t="str">
        <f>IF($B364="","",'Qredits maandlasten'!$C$8/12)</f>
        <v/>
      </c>
      <c r="P364" s="424" t="str">
        <f>IF($B364="","",'Qredits maandlasten'!$C$8/12*(POWER(1+'Qredits maandlasten'!$C$8/12,$B364-1+1)))</f>
        <v/>
      </c>
      <c r="Q364" s="424" t="str">
        <f t="shared" si="28"/>
        <v/>
      </c>
      <c r="R364" s="422"/>
      <c r="S364" s="423" t="str">
        <f t="shared" si="26"/>
        <v/>
      </c>
      <c r="T364" s="423" t="str">
        <f>IF(S364="","",J364/(POWER(1+'Qredits maandlasten'!$C$8/12,$B364-1+1)))</f>
        <v/>
      </c>
      <c r="U364" s="425" t="str">
        <f t="shared" si="29"/>
        <v/>
      </c>
      <c r="V364" s="423" t="str">
        <f>IF($B364="","",K364/(POWER(1+'Qredits maandlasten'!$C$8/12,$B364-1+1)))</f>
        <v/>
      </c>
      <c r="W364" s="422"/>
    </row>
    <row r="365" spans="1:23" s="427" customFormat="1" x14ac:dyDescent="0.2">
      <c r="A365" s="418"/>
      <c r="B365" s="419" t="str">
        <f>IF($B364="","",IF($B364+1&gt;'Qredits maandlasten'!$C$7,"",Schema!B364+1))</f>
        <v/>
      </c>
      <c r="C365" s="420" t="str">
        <f>IF($B364="","",IF($B364+1&gt;'Qredits maandlasten'!$C$7,"",EOMONTH(C364,0)+1))</f>
        <v/>
      </c>
      <c r="D365" s="418"/>
      <c r="E365" s="420" t="str">
        <f>IF($B364="","",IF($B364+1&gt;'Qredits maandlasten'!$C$7,"",F364+1))</f>
        <v/>
      </c>
      <c r="F365" s="420" t="str">
        <f>IF($B364="","",IF($B364+1&gt;'Qredits maandlasten'!$C$7,"",EOMONTH(C365,-1)))</f>
        <v/>
      </c>
      <c r="G365" s="421" t="str">
        <f>IF($B364="","",IF($B364+1&gt;'Qredits maandlasten'!$C$7,"",(_xlfn.DAYS(F365,E365)+1)/DAY(F365)))</f>
        <v/>
      </c>
      <c r="H365" s="422"/>
      <c r="I365" s="423" t="str">
        <f>IF($B364="","",IF($B364+1&gt;'Qredits maandlasten'!$C$7,"",I364-J364))</f>
        <v/>
      </c>
      <c r="J365" s="423" t="str">
        <f>IF($B364="","",IF($B364+1&gt;'Qredits maandlasten'!$C$7,"",IF(B364&lt;'Investering &amp; Financiering'!$E$52-1,0,IF('Qredits maandlasten'!$C$10="Lineair",'Qredits maandlasten'!$H$4,IF('Qredits maandlasten'!$C$10="Annuïteit",IFERROR('Qredits maandlasten'!$H$4-K365,0),0)))))</f>
        <v/>
      </c>
      <c r="K365" s="423" t="str">
        <f>IF($B364="","",IF($B364+1&gt;'Qredits maandlasten'!$C$7,"",G365*I365*'Qredits maandlasten'!$C$8/12))</f>
        <v/>
      </c>
      <c r="L365" s="423" t="str">
        <f t="shared" si="27"/>
        <v/>
      </c>
      <c r="M365" s="423" t="str">
        <f t="shared" si="25"/>
        <v/>
      </c>
      <c r="N365" s="422"/>
      <c r="O365" s="424" t="str">
        <f>IF($B365="","",'Qredits maandlasten'!$C$8/12)</f>
        <v/>
      </c>
      <c r="P365" s="424" t="str">
        <f>IF($B365="","",'Qredits maandlasten'!$C$8/12*(POWER(1+'Qredits maandlasten'!$C$8/12,$B365-1+1)))</f>
        <v/>
      </c>
      <c r="Q365" s="424" t="str">
        <f t="shared" si="28"/>
        <v/>
      </c>
      <c r="R365" s="422"/>
      <c r="S365" s="423" t="str">
        <f t="shared" si="26"/>
        <v/>
      </c>
      <c r="T365" s="423" t="str">
        <f>IF(S365="","",J365/(POWER(1+'Qredits maandlasten'!$C$8/12,$B365-1+1)))</f>
        <v/>
      </c>
      <c r="U365" s="425" t="str">
        <f t="shared" si="29"/>
        <v/>
      </c>
      <c r="V365" s="423" t="str">
        <f>IF($B365="","",K365/(POWER(1+'Qredits maandlasten'!$C$8/12,$B365-1+1)))</f>
        <v/>
      </c>
      <c r="W365" s="422"/>
    </row>
    <row r="366" spans="1:23" s="427" customFormat="1" x14ac:dyDescent="0.2">
      <c r="A366" s="418"/>
      <c r="B366" s="419" t="str">
        <f>IF($B365="","",IF($B365+1&gt;'Qredits maandlasten'!$C$7,"",Schema!B365+1))</f>
        <v/>
      </c>
      <c r="C366" s="420" t="str">
        <f>IF($B365="","",IF($B365+1&gt;'Qredits maandlasten'!$C$7,"",EOMONTH(C365,0)+1))</f>
        <v/>
      </c>
      <c r="D366" s="418"/>
      <c r="E366" s="420" t="str">
        <f>IF($B365="","",IF($B365+1&gt;'Qredits maandlasten'!$C$7,"",F365+1))</f>
        <v/>
      </c>
      <c r="F366" s="420" t="str">
        <f>IF($B365="","",IF($B365+1&gt;'Qredits maandlasten'!$C$7,"",EOMONTH(C366,-1)))</f>
        <v/>
      </c>
      <c r="G366" s="421" t="str">
        <f>IF($B365="","",IF($B365+1&gt;'Qredits maandlasten'!$C$7,"",(_xlfn.DAYS(F366,E366)+1)/DAY(F366)))</f>
        <v/>
      </c>
      <c r="H366" s="422"/>
      <c r="I366" s="423" t="str">
        <f>IF($B365="","",IF($B365+1&gt;'Qredits maandlasten'!$C$7,"",I365-J365))</f>
        <v/>
      </c>
      <c r="J366" s="423" t="str">
        <f>IF($B365="","",IF($B365+1&gt;'Qredits maandlasten'!$C$7,"",IF(B365&lt;'Investering &amp; Financiering'!$E$52-1,0,IF('Qredits maandlasten'!$C$10="Lineair",'Qredits maandlasten'!$H$4,IF('Qredits maandlasten'!$C$10="Annuïteit",IFERROR('Qredits maandlasten'!$H$4-K366,0),0)))))</f>
        <v/>
      </c>
      <c r="K366" s="423" t="str">
        <f>IF($B365="","",IF($B365+1&gt;'Qredits maandlasten'!$C$7,"",G366*I366*'Qredits maandlasten'!$C$8/12))</f>
        <v/>
      </c>
      <c r="L366" s="423" t="str">
        <f t="shared" si="27"/>
        <v/>
      </c>
      <c r="M366" s="423" t="str">
        <f t="shared" si="25"/>
        <v/>
      </c>
      <c r="N366" s="422"/>
      <c r="O366" s="424" t="str">
        <f>IF($B366="","",'Qredits maandlasten'!$C$8/12)</f>
        <v/>
      </c>
      <c r="P366" s="424" t="str">
        <f>IF($B366="","",'Qredits maandlasten'!$C$8/12*(POWER(1+'Qredits maandlasten'!$C$8/12,$B366-1+1)))</f>
        <v/>
      </c>
      <c r="Q366" s="424" t="str">
        <f t="shared" si="28"/>
        <v/>
      </c>
      <c r="R366" s="422"/>
      <c r="S366" s="423" t="str">
        <f t="shared" si="26"/>
        <v/>
      </c>
      <c r="T366" s="423" t="str">
        <f>IF(S366="","",J366/(POWER(1+'Qredits maandlasten'!$C$8/12,$B366-1+1)))</f>
        <v/>
      </c>
      <c r="U366" s="425" t="str">
        <f t="shared" si="29"/>
        <v/>
      </c>
      <c r="V366" s="423" t="str">
        <f>IF($B366="","",K366/(POWER(1+'Qredits maandlasten'!$C$8/12,$B366-1+1)))</f>
        <v/>
      </c>
      <c r="W366" s="422"/>
    </row>
    <row r="367" spans="1:23" s="427" customFormat="1" x14ac:dyDescent="0.2">
      <c r="A367" s="418"/>
      <c r="B367" s="419" t="str">
        <f>IF($B366="","",IF($B366+1&gt;'Qredits maandlasten'!$C$7,"",Schema!B366+1))</f>
        <v/>
      </c>
      <c r="C367" s="420" t="str">
        <f>IF($B366="","",IF($B366+1&gt;'Qredits maandlasten'!$C$7,"",EOMONTH(C366,0)+1))</f>
        <v/>
      </c>
      <c r="D367" s="418"/>
      <c r="E367" s="420" t="str">
        <f>IF($B366="","",IF($B366+1&gt;'Qredits maandlasten'!$C$7,"",F366+1))</f>
        <v/>
      </c>
      <c r="F367" s="420" t="str">
        <f>IF($B366="","",IF($B366+1&gt;'Qredits maandlasten'!$C$7,"",EOMONTH(C367,-1)))</f>
        <v/>
      </c>
      <c r="G367" s="421" t="str">
        <f>IF($B366="","",IF($B366+1&gt;'Qredits maandlasten'!$C$7,"",(_xlfn.DAYS(F367,E367)+1)/DAY(F367)))</f>
        <v/>
      </c>
      <c r="H367" s="422"/>
      <c r="I367" s="423" t="str">
        <f>IF($B366="","",IF($B366+1&gt;'Qredits maandlasten'!$C$7,"",I366-J366))</f>
        <v/>
      </c>
      <c r="J367" s="423" t="str">
        <f>IF($B366="","",IF($B366+1&gt;'Qredits maandlasten'!$C$7,"",IF(B366&lt;'Investering &amp; Financiering'!$E$52-1,0,IF('Qredits maandlasten'!$C$10="Lineair",'Qredits maandlasten'!$H$4,IF('Qredits maandlasten'!$C$10="Annuïteit",IFERROR('Qredits maandlasten'!$H$4-K367,0),0)))))</f>
        <v/>
      </c>
      <c r="K367" s="423" t="str">
        <f>IF($B366="","",IF($B366+1&gt;'Qredits maandlasten'!$C$7,"",G367*I367*'Qredits maandlasten'!$C$8/12))</f>
        <v/>
      </c>
      <c r="L367" s="423" t="str">
        <f t="shared" si="27"/>
        <v/>
      </c>
      <c r="M367" s="423" t="str">
        <f t="shared" si="25"/>
        <v/>
      </c>
      <c r="N367" s="422"/>
      <c r="O367" s="424" t="str">
        <f>IF($B367="","",'Qredits maandlasten'!$C$8/12)</f>
        <v/>
      </c>
      <c r="P367" s="424" t="str">
        <f>IF($B367="","",'Qredits maandlasten'!$C$8/12*(POWER(1+'Qredits maandlasten'!$C$8/12,$B367-1+1)))</f>
        <v/>
      </c>
      <c r="Q367" s="424" t="str">
        <f t="shared" si="28"/>
        <v/>
      </c>
      <c r="R367" s="422"/>
      <c r="S367" s="423" t="str">
        <f t="shared" si="26"/>
        <v/>
      </c>
      <c r="T367" s="423" t="str">
        <f>IF(S367="","",J367/(POWER(1+'Qredits maandlasten'!$C$8/12,$B367-1+1)))</f>
        <v/>
      </c>
      <c r="U367" s="425" t="str">
        <f t="shared" si="29"/>
        <v/>
      </c>
      <c r="V367" s="423" t="str">
        <f>IF($B367="","",K367/(POWER(1+'Qredits maandlasten'!$C$8/12,$B367-1+1)))</f>
        <v/>
      </c>
      <c r="W367" s="422"/>
    </row>
    <row r="368" spans="1:23" s="427" customFormat="1" x14ac:dyDescent="0.2">
      <c r="A368" s="418"/>
      <c r="B368" s="419" t="str">
        <f>IF($B367="","",IF($B367+1&gt;'Qredits maandlasten'!$C$7,"",Schema!B367+1))</f>
        <v/>
      </c>
      <c r="C368" s="420" t="str">
        <f>IF($B367="","",IF($B367+1&gt;'Qredits maandlasten'!$C$7,"",EOMONTH(C367,0)+1))</f>
        <v/>
      </c>
      <c r="D368" s="418"/>
      <c r="E368" s="420" t="str">
        <f>IF($B367="","",IF($B367+1&gt;'Qredits maandlasten'!$C$7,"",F367+1))</f>
        <v/>
      </c>
      <c r="F368" s="420" t="str">
        <f>IF($B367="","",IF($B367+1&gt;'Qredits maandlasten'!$C$7,"",EOMONTH(C368,-1)))</f>
        <v/>
      </c>
      <c r="G368" s="421" t="str">
        <f>IF($B367="","",IF($B367+1&gt;'Qredits maandlasten'!$C$7,"",(_xlfn.DAYS(F368,E368)+1)/DAY(F368)))</f>
        <v/>
      </c>
      <c r="H368" s="422"/>
      <c r="I368" s="423" t="str">
        <f>IF($B367="","",IF($B367+1&gt;'Qredits maandlasten'!$C$7,"",I367-J367))</f>
        <v/>
      </c>
      <c r="J368" s="423" t="str">
        <f>IF($B367="","",IF($B367+1&gt;'Qredits maandlasten'!$C$7,"",IF(B367&lt;'Investering &amp; Financiering'!$E$52-1,0,IF('Qredits maandlasten'!$C$10="Lineair",'Qredits maandlasten'!$H$4,IF('Qredits maandlasten'!$C$10="Annuïteit",IFERROR('Qredits maandlasten'!$H$4-K368,0),0)))))</f>
        <v/>
      </c>
      <c r="K368" s="423" t="str">
        <f>IF($B367="","",IF($B367+1&gt;'Qredits maandlasten'!$C$7,"",G368*I368*'Qredits maandlasten'!$C$8/12))</f>
        <v/>
      </c>
      <c r="L368" s="423" t="str">
        <f t="shared" si="27"/>
        <v/>
      </c>
      <c r="M368" s="423" t="str">
        <f t="shared" si="25"/>
        <v/>
      </c>
      <c r="N368" s="422"/>
      <c r="O368" s="424" t="str">
        <f>IF($B368="","",'Qredits maandlasten'!$C$8/12)</f>
        <v/>
      </c>
      <c r="P368" s="424" t="str">
        <f>IF($B368="","",'Qredits maandlasten'!$C$8/12*(POWER(1+'Qredits maandlasten'!$C$8/12,$B368-1+1)))</f>
        <v/>
      </c>
      <c r="Q368" s="424" t="str">
        <f t="shared" si="28"/>
        <v/>
      </c>
      <c r="R368" s="422"/>
      <c r="S368" s="423" t="str">
        <f t="shared" si="26"/>
        <v/>
      </c>
      <c r="T368" s="423" t="str">
        <f>IF(S368="","",J368/(POWER(1+'Qredits maandlasten'!$C$8/12,$B368-1+1)))</f>
        <v/>
      </c>
      <c r="U368" s="425" t="str">
        <f t="shared" si="29"/>
        <v/>
      </c>
      <c r="V368" s="423" t="str">
        <f>IF($B368="","",K368/(POWER(1+'Qredits maandlasten'!$C$8/12,$B368-1+1)))</f>
        <v/>
      </c>
      <c r="W368" s="422"/>
    </row>
    <row r="369" spans="1:23" s="427" customFormat="1" x14ac:dyDescent="0.2">
      <c r="A369" s="418"/>
      <c r="B369" s="419" t="str">
        <f>IF($B368="","",IF($B368+1&gt;'Qredits maandlasten'!$C$7,"",Schema!B368+1))</f>
        <v/>
      </c>
      <c r="C369" s="420" t="str">
        <f>IF($B368="","",IF($B368+1&gt;'Qredits maandlasten'!$C$7,"",EOMONTH(C368,0)+1))</f>
        <v/>
      </c>
      <c r="D369" s="418"/>
      <c r="E369" s="420" t="str">
        <f>IF($B368="","",IF($B368+1&gt;'Qredits maandlasten'!$C$7,"",F368+1))</f>
        <v/>
      </c>
      <c r="F369" s="420" t="str">
        <f>IF($B368="","",IF($B368+1&gt;'Qredits maandlasten'!$C$7,"",EOMONTH(C369,-1)))</f>
        <v/>
      </c>
      <c r="G369" s="421" t="str">
        <f>IF($B368="","",IF($B368+1&gt;'Qredits maandlasten'!$C$7,"",(_xlfn.DAYS(F369,E369)+1)/DAY(F369)))</f>
        <v/>
      </c>
      <c r="H369" s="422"/>
      <c r="I369" s="423" t="str">
        <f>IF($B368="","",IF($B368+1&gt;'Qredits maandlasten'!$C$7,"",I368-J368))</f>
        <v/>
      </c>
      <c r="J369" s="423" t="str">
        <f>IF($B368="","",IF($B368+1&gt;'Qredits maandlasten'!$C$7,"",IF(B368&lt;'Investering &amp; Financiering'!$E$52-1,0,IF('Qredits maandlasten'!$C$10="Lineair",'Qredits maandlasten'!$H$4,IF('Qredits maandlasten'!$C$10="Annuïteit",IFERROR('Qredits maandlasten'!$H$4-K369,0),0)))))</f>
        <v/>
      </c>
      <c r="K369" s="423" t="str">
        <f>IF($B368="","",IF($B368+1&gt;'Qredits maandlasten'!$C$7,"",G369*I369*'Qredits maandlasten'!$C$8/12))</f>
        <v/>
      </c>
      <c r="L369" s="423" t="str">
        <f t="shared" si="27"/>
        <v/>
      </c>
      <c r="M369" s="423" t="str">
        <f t="shared" si="25"/>
        <v/>
      </c>
      <c r="N369" s="422"/>
      <c r="O369" s="424" t="str">
        <f>IF($B369="","",'Qredits maandlasten'!$C$8/12)</f>
        <v/>
      </c>
      <c r="P369" s="424" t="str">
        <f>IF($B369="","",'Qredits maandlasten'!$C$8/12*(POWER(1+'Qredits maandlasten'!$C$8/12,$B369-1+1)))</f>
        <v/>
      </c>
      <c r="Q369" s="424" t="str">
        <f t="shared" si="28"/>
        <v/>
      </c>
      <c r="R369" s="422"/>
      <c r="S369" s="423" t="str">
        <f t="shared" si="26"/>
        <v/>
      </c>
      <c r="T369" s="423" t="str">
        <f>IF(S369="","",J369/(POWER(1+'Qredits maandlasten'!$C$8/12,$B369-1+1)))</f>
        <v/>
      </c>
      <c r="U369" s="425" t="str">
        <f t="shared" si="29"/>
        <v/>
      </c>
      <c r="V369" s="423" t="str">
        <f>IF($B369="","",K369/(POWER(1+'Qredits maandlasten'!$C$8/12,$B369-1+1)))</f>
        <v/>
      </c>
      <c r="W369" s="422"/>
    </row>
  </sheetData>
  <sheetProtection algorithmName="SHA-512" hashValue="yPw2xjII4jx1ynQIQcwNBDEim/7jwdEr4iSv7pqUzCOu6mFOtgINUizMp3dCRYvUctKOT01kTTqUDR/ulTIJow==" saltValue="Vmf3RCw5Q+ws8yCyYDLatQ==" spinCount="100000" sheet="1" objects="1" scenarios="1"/>
  <mergeCells count="7">
    <mergeCell ref="A1:W2"/>
    <mergeCell ref="A3:W4"/>
    <mergeCell ref="B6:C6"/>
    <mergeCell ref="E6:G6"/>
    <mergeCell ref="I6:M6"/>
    <mergeCell ref="O6:Q6"/>
    <mergeCell ref="S6:V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dimension ref="A1:Z179"/>
  <sheetViews>
    <sheetView workbookViewId="0">
      <selection activeCell="B3" sqref="B3"/>
    </sheetView>
  </sheetViews>
  <sheetFormatPr defaultRowHeight="12.75" x14ac:dyDescent="0.2"/>
  <cols>
    <col min="1" max="1" width="19" style="179" bestFit="1" customWidth="1"/>
    <col min="2" max="4" width="16.7109375" style="179" bestFit="1" customWidth="1"/>
    <col min="5" max="5" width="9.140625" style="179"/>
    <col min="6" max="6" width="19.42578125" style="179" bestFit="1" customWidth="1"/>
    <col min="7" max="7" width="13" style="179" customWidth="1"/>
    <col min="8" max="8" width="9.140625" style="179"/>
    <col min="9" max="9" width="19.42578125" style="179" bestFit="1" customWidth="1"/>
    <col min="10" max="10" width="15.42578125" style="179" bestFit="1" customWidth="1"/>
    <col min="11" max="11" width="11.85546875" style="179" customWidth="1"/>
    <col min="12" max="12" width="7.85546875" style="179" bestFit="1" customWidth="1"/>
    <col min="13" max="13" width="10.28515625" style="179" bestFit="1" customWidth="1"/>
    <col min="14" max="14" width="9.140625" style="179"/>
    <col min="15" max="15" width="19.42578125" style="179" bestFit="1" customWidth="1"/>
    <col min="16" max="16" width="15.42578125" style="179" bestFit="1" customWidth="1"/>
    <col min="17" max="17" width="11.85546875" style="179" customWidth="1"/>
    <col min="18" max="18" width="7.85546875" style="179" bestFit="1" customWidth="1"/>
    <col min="19" max="19" width="10.28515625" style="179" bestFit="1" customWidth="1"/>
    <col min="20" max="20" width="9.140625" style="179"/>
    <col min="21" max="21" width="19.42578125" style="179" bestFit="1" customWidth="1"/>
    <col min="22" max="22" width="15.42578125" style="179" bestFit="1" customWidth="1"/>
    <col min="23" max="23" width="11.85546875" style="179" customWidth="1"/>
    <col min="24" max="24" width="7.85546875" style="179" bestFit="1" customWidth="1"/>
    <col min="25" max="25" width="10.28515625" style="179" bestFit="1" customWidth="1"/>
    <col min="26" max="16384" width="9.140625" style="179"/>
  </cols>
  <sheetData>
    <row r="1" spans="1:25" ht="24" thickTop="1" x14ac:dyDescent="0.35">
      <c r="A1" s="178" t="s">
        <v>411</v>
      </c>
      <c r="F1" s="206" t="s">
        <v>414</v>
      </c>
      <c r="G1" s="219">
        <f>A10</f>
        <v>2023</v>
      </c>
      <c r="I1" s="403"/>
      <c r="J1" s="187" t="str">
        <f>Privé!B12</f>
        <v>Ondernemer:</v>
      </c>
      <c r="K1" s="184"/>
      <c r="L1" s="184"/>
      <c r="M1" s="184"/>
      <c r="N1" s="184"/>
      <c r="O1" s="403"/>
      <c r="P1" s="187" t="str">
        <f>Privé!F12</f>
        <v>Ondernemer:</v>
      </c>
      <c r="Q1" s="184"/>
      <c r="R1" s="184"/>
      <c r="S1" s="184"/>
      <c r="T1" s="184"/>
      <c r="U1" s="403"/>
      <c r="V1" s="187" t="str">
        <f>Privé!J12</f>
        <v>Ondernemer:</v>
      </c>
      <c r="W1" s="184"/>
      <c r="X1" s="184"/>
      <c r="Y1" s="184"/>
    </row>
    <row r="2" spans="1:25" x14ac:dyDescent="0.2">
      <c r="A2" s="184" t="s">
        <v>413</v>
      </c>
      <c r="B2" s="185">
        <v>44715</v>
      </c>
      <c r="F2" s="207" t="s">
        <v>227</v>
      </c>
      <c r="G2" s="220">
        <f ca="1">Exploitatie!F25</f>
        <v>0</v>
      </c>
      <c r="I2" s="207" t="s">
        <v>456</v>
      </c>
      <c r="J2" s="220">
        <f ca="1">IF(Privé!$D$7="B.V.",0,IF($J$1="Ondernemer:",G2,G2*Privé!D$15))</f>
        <v>0</v>
      </c>
      <c r="K2" s="208"/>
      <c r="L2" s="208"/>
      <c r="M2" s="208"/>
      <c r="N2" s="184"/>
      <c r="O2" s="207" t="s">
        <v>456</v>
      </c>
      <c r="P2" s="220">
        <f>IF(Privé!$D$7="B.V.",0,IF($P$1="2e ondernemer:",G2*Privé!H$15,0))</f>
        <v>0</v>
      </c>
      <c r="Q2" s="208"/>
      <c r="R2" s="208"/>
      <c r="S2" s="208"/>
      <c r="T2" s="184"/>
      <c r="U2" s="207" t="s">
        <v>456</v>
      </c>
      <c r="V2" s="220">
        <f>IF(Privé!$D$7="B.V.",0,IF($V$1="3e ondernemer:",G2*Privé!L$15,0))</f>
        <v>0</v>
      </c>
      <c r="W2" s="208"/>
      <c r="X2" s="208"/>
      <c r="Y2" s="208"/>
    </row>
    <row r="3" spans="1:25" x14ac:dyDescent="0.2">
      <c r="A3" s="184"/>
      <c r="B3" s="185"/>
      <c r="F3" s="207" t="s">
        <v>228</v>
      </c>
      <c r="G3" s="220">
        <f>IF('Investering &amp; Financiering'!G10&gt;450,'Investering &amp; Financiering'!G10)+IF('Investering &amp; Financiering'!G11&gt;450,'Investering &amp; Financiering'!G11)+IF('Investering &amp; Financiering'!G12&gt;450,'Investering &amp; Financiering'!G12)+IF('Investering &amp; Financiering'!G13&gt;450,'Investering &amp; Financiering'!G13)+IF('Investering &amp; Financiering'!G14&gt;450,'Investering &amp; Financiering'!G14)</f>
        <v>0</v>
      </c>
      <c r="I3" s="207" t="s">
        <v>457</v>
      </c>
      <c r="J3" s="220">
        <f>IF(Privé!$D$7="B.V.",0,IF($J$1="Ondernemer:",G3,G3*Privé!D$15))</f>
        <v>0</v>
      </c>
      <c r="L3" s="208"/>
      <c r="M3" s="208"/>
      <c r="N3" s="184"/>
      <c r="O3" s="207" t="s">
        <v>457</v>
      </c>
      <c r="P3" s="220">
        <f>IF(Privé!$D$7="B.V.",0,IF($P$1="2e ondernemer:",G3*Privé!H$15,0))</f>
        <v>0</v>
      </c>
      <c r="R3" s="208"/>
      <c r="S3" s="208"/>
      <c r="T3" s="184"/>
      <c r="U3" s="207" t="s">
        <v>457</v>
      </c>
      <c r="V3" s="220">
        <f>IF(Privé!$D$7="B.V.",0,IF($V$1="3e ondernemer:",G3*Privé!L$15,0))</f>
        <v>0</v>
      </c>
      <c r="X3" s="208"/>
      <c r="Y3" s="208"/>
    </row>
    <row r="4" spans="1:25" ht="13.5" thickBot="1" x14ac:dyDescent="0.25">
      <c r="A4" s="184"/>
      <c r="B4" s="185"/>
      <c r="F4" s="208" t="s">
        <v>229</v>
      </c>
      <c r="I4" s="207" t="s">
        <v>241</v>
      </c>
      <c r="J4" s="220">
        <f ca="1">IB!I6+IB!I11+IB!I16+IB!I25+IB!I36+IB!I41</f>
        <v>0</v>
      </c>
      <c r="L4" s="208"/>
      <c r="M4" s="208"/>
      <c r="N4" s="184"/>
      <c r="O4" s="207" t="s">
        <v>241</v>
      </c>
      <c r="P4" s="220">
        <f>IB!O6+IB!O11+IB!O16+IB!O25+IB!O36+IB!O41</f>
        <v>0</v>
      </c>
      <c r="R4" s="208"/>
      <c r="S4" s="208"/>
      <c r="T4" s="184"/>
      <c r="U4" s="207" t="s">
        <v>241</v>
      </c>
      <c r="V4" s="220">
        <f>IB!U6+IB!U11+IB!U16+IB!U25+IB!U36+IB!U41</f>
        <v>0</v>
      </c>
      <c r="X4" s="208"/>
      <c r="Y4" s="208"/>
    </row>
    <row r="5" spans="1:25" ht="15.75" thickTop="1" x14ac:dyDescent="0.25">
      <c r="A5" s="186" t="s">
        <v>470</v>
      </c>
      <c r="B5" s="187"/>
      <c r="C5" s="187"/>
      <c r="D5" s="187"/>
      <c r="E5" s="188"/>
      <c r="F5" s="3"/>
      <c r="I5" s="184"/>
      <c r="J5" s="209"/>
      <c r="K5" s="208"/>
      <c r="L5" s="208"/>
      <c r="M5" s="208"/>
      <c r="N5" s="184"/>
      <c r="O5" s="184"/>
      <c r="P5" s="209"/>
      <c r="Q5" s="208"/>
      <c r="R5" s="208"/>
      <c r="S5" s="208"/>
      <c r="T5" s="184"/>
      <c r="U5" s="184"/>
      <c r="V5" s="209"/>
      <c r="W5" s="208"/>
      <c r="X5" s="208"/>
      <c r="Y5" s="208"/>
    </row>
    <row r="6" spans="1:25" ht="15" x14ac:dyDescent="0.25">
      <c r="A6" s="191" t="s">
        <v>79</v>
      </c>
      <c r="B6" s="221">
        <v>0.36549999999999999</v>
      </c>
      <c r="C6" s="192">
        <v>0.40400000000000003</v>
      </c>
      <c r="D6" s="221">
        <v>0.40400000000000003</v>
      </c>
      <c r="E6" s="222">
        <v>0.52</v>
      </c>
      <c r="F6" s="3"/>
      <c r="I6" s="217">
        <f ca="1">IF(J$2&lt;=0,0,IF(Privé!D$18=Dropdowns!$B$3,L9,0))</f>
        <v>0</v>
      </c>
      <c r="J6" s="515" t="s">
        <v>497</v>
      </c>
      <c r="K6" s="515"/>
      <c r="L6" s="515"/>
      <c r="M6" s="208"/>
      <c r="N6" s="184"/>
      <c r="O6" s="217">
        <f>IF(P$2&lt;=0,0,IF(Privé!H$18=Dropdowns!$B$3,R9,0))</f>
        <v>0</v>
      </c>
      <c r="P6" s="515" t="str">
        <f>J6</f>
        <v>Zelfstandigenaftrek (2022)</v>
      </c>
      <c r="Q6" s="515"/>
      <c r="R6" s="515"/>
      <c r="S6" s="208"/>
      <c r="T6" s="184"/>
      <c r="U6" s="217">
        <f>IF(V$2&lt;=0,0,IF(Privé!L$18=Dropdowns!$B$3,X9,0))</f>
        <v>0</v>
      </c>
      <c r="V6" s="515" t="str">
        <f>J6</f>
        <v>Zelfstandigenaftrek (2022)</v>
      </c>
      <c r="W6" s="515"/>
      <c r="X6" s="515"/>
      <c r="Y6" s="208"/>
    </row>
    <row r="7" spans="1:25" ht="15.75" thickBot="1" x14ac:dyDescent="0.3">
      <c r="A7" s="193" t="s">
        <v>78</v>
      </c>
      <c r="B7" s="194">
        <v>19981</v>
      </c>
      <c r="C7" s="194">
        <v>33715</v>
      </c>
      <c r="D7" s="194">
        <v>66421</v>
      </c>
      <c r="E7" s="195"/>
      <c r="F7" s="3"/>
      <c r="I7" s="218"/>
      <c r="J7" s="514" t="s">
        <v>227</v>
      </c>
      <c r="K7" s="514"/>
      <c r="L7" s="211" t="s">
        <v>230</v>
      </c>
      <c r="M7" s="208"/>
      <c r="N7" s="184"/>
      <c r="O7" s="218"/>
      <c r="P7" s="514" t="s">
        <v>227</v>
      </c>
      <c r="Q7" s="514"/>
      <c r="R7" s="211" t="s">
        <v>230</v>
      </c>
      <c r="S7" s="208"/>
      <c r="T7" s="184"/>
      <c r="U7" s="218"/>
      <c r="V7" s="514" t="s">
        <v>227</v>
      </c>
      <c r="W7" s="514"/>
      <c r="X7" s="211" t="s">
        <v>230</v>
      </c>
      <c r="Y7" s="208"/>
    </row>
    <row r="8" spans="1:25" ht="15.75" thickTop="1" x14ac:dyDescent="0.25">
      <c r="A8" s="3"/>
      <c r="B8" s="3"/>
      <c r="C8" s="3"/>
      <c r="D8" s="3"/>
      <c r="E8" s="3"/>
      <c r="F8" s="3"/>
      <c r="I8" s="218"/>
      <c r="J8" s="227" t="s">
        <v>231</v>
      </c>
      <c r="K8" s="227" t="s">
        <v>232</v>
      </c>
      <c r="L8" s="227"/>
      <c r="M8" s="208"/>
      <c r="N8" s="184"/>
      <c r="O8" s="218"/>
      <c r="P8" s="227" t="s">
        <v>231</v>
      </c>
      <c r="Q8" s="227" t="s">
        <v>232</v>
      </c>
      <c r="R8" s="227"/>
      <c r="S8" s="208"/>
      <c r="T8" s="184"/>
      <c r="U8" s="218"/>
      <c r="V8" s="227" t="s">
        <v>231</v>
      </c>
      <c r="W8" s="227" t="s">
        <v>232</v>
      </c>
      <c r="X8" s="227"/>
      <c r="Y8" s="208"/>
    </row>
    <row r="9" spans="1:25" ht="15.75" thickBot="1" x14ac:dyDescent="0.3">
      <c r="A9" s="181"/>
      <c r="B9" s="3"/>
      <c r="C9" s="3"/>
      <c r="D9" s="3"/>
      <c r="E9" s="3"/>
      <c r="F9" s="3"/>
      <c r="I9" s="218"/>
      <c r="J9" s="213">
        <v>0</v>
      </c>
      <c r="K9" s="213"/>
      <c r="L9" s="213">
        <v>6310</v>
      </c>
      <c r="M9" s="212"/>
      <c r="N9" s="184"/>
      <c r="O9" s="218"/>
      <c r="P9" s="213">
        <f>J9</f>
        <v>0</v>
      </c>
      <c r="Q9" s="213"/>
      <c r="R9" s="213">
        <f t="shared" ref="R9" si="0">L9</f>
        <v>6310</v>
      </c>
      <c r="S9" s="212"/>
      <c r="T9" s="184"/>
      <c r="U9" s="218"/>
      <c r="V9" s="213">
        <f t="shared" ref="V9:X9" si="1">P9</f>
        <v>0</v>
      </c>
      <c r="W9" s="213"/>
      <c r="X9" s="213">
        <f t="shared" si="1"/>
        <v>6310</v>
      </c>
      <c r="Y9" s="212"/>
    </row>
    <row r="10" spans="1:25" ht="16.5" thickTop="1" thickBot="1" x14ac:dyDescent="0.3">
      <c r="A10" s="407">
        <f>Exploitatie!$F$8</f>
        <v>2023</v>
      </c>
      <c r="B10" s="185"/>
      <c r="F10" s="3"/>
      <c r="I10" s="218"/>
      <c r="J10" s="208"/>
      <c r="K10" s="208"/>
      <c r="L10" s="208"/>
      <c r="M10" s="208"/>
      <c r="N10" s="184"/>
      <c r="O10" s="218"/>
      <c r="P10" s="208"/>
      <c r="Q10" s="208"/>
      <c r="R10" s="208"/>
      <c r="S10" s="208"/>
      <c r="T10" s="184"/>
      <c r="U10" s="218"/>
      <c r="V10" s="208"/>
      <c r="W10" s="208"/>
      <c r="X10" s="208"/>
      <c r="Y10" s="208"/>
    </row>
    <row r="11" spans="1:25" ht="15.75" thickTop="1" x14ac:dyDescent="0.25">
      <c r="A11" s="186" t="s">
        <v>412</v>
      </c>
      <c r="B11" s="187" t="str">
        <f>J1</f>
        <v>Ondernemer:</v>
      </c>
      <c r="C11" s="187" t="str">
        <f>P1</f>
        <v>Ondernemer:</v>
      </c>
      <c r="D11" s="187" t="str">
        <f>V1</f>
        <v>Ondernemer:</v>
      </c>
      <c r="E11" s="3"/>
      <c r="F11" s="3"/>
      <c r="I11" s="217">
        <f ca="1">IF(J$2&lt;=0,0,IF(Privé!D$19=Dropdowns!$B$3,L14,0))</f>
        <v>0</v>
      </c>
      <c r="J11" s="515" t="s">
        <v>498</v>
      </c>
      <c r="K11" s="515"/>
      <c r="L11" s="515"/>
      <c r="M11" s="208"/>
      <c r="N11" s="184"/>
      <c r="O11" s="217">
        <f>IF(P$2&lt;=0,0,IF(Privé!H$19=Dropdowns!$B$3,R14,0))</f>
        <v>0</v>
      </c>
      <c r="P11" s="515" t="str">
        <f>J11</f>
        <v>Startersaftrek (2022)</v>
      </c>
      <c r="Q11" s="515"/>
      <c r="R11" s="515"/>
      <c r="S11" s="208"/>
      <c r="T11" s="184"/>
      <c r="U11" s="217">
        <f>IF(V$2&lt;=0,0,IF(Privé!L$19=Dropdowns!$B$3,X14,0))</f>
        <v>0</v>
      </c>
      <c r="V11" s="515" t="str">
        <f>J11</f>
        <v>Startersaftrek (2022)</v>
      </c>
      <c r="W11" s="515"/>
      <c r="X11" s="515"/>
      <c r="Y11" s="208"/>
    </row>
    <row r="12" spans="1:25" ht="15" x14ac:dyDescent="0.25">
      <c r="A12" s="189" t="s">
        <v>67</v>
      </c>
      <c r="B12" s="190">
        <f ca="1">IF(J2-J4&lt;0,0,(J2-J4))</f>
        <v>0</v>
      </c>
      <c r="C12" s="190">
        <f>IF(P2-P4&lt;0,0,(P2-P4))</f>
        <v>0</v>
      </c>
      <c r="D12" s="190">
        <f>IF(V2-V4&lt;0,0,(V2-V4))</f>
        <v>0</v>
      </c>
      <c r="E12" s="3"/>
      <c r="F12" s="3"/>
      <c r="I12" s="218"/>
      <c r="J12" s="514" t="s">
        <v>227</v>
      </c>
      <c r="K12" s="514"/>
      <c r="L12" s="211" t="s">
        <v>230</v>
      </c>
      <c r="M12" s="208"/>
      <c r="N12" s="184"/>
      <c r="O12" s="218"/>
      <c r="P12" s="514" t="s">
        <v>227</v>
      </c>
      <c r="Q12" s="514"/>
      <c r="R12" s="211" t="s">
        <v>230</v>
      </c>
      <c r="S12" s="208"/>
      <c r="T12" s="184"/>
      <c r="U12" s="218"/>
      <c r="V12" s="514" t="s">
        <v>227</v>
      </c>
      <c r="W12" s="514"/>
      <c r="X12" s="211" t="s">
        <v>230</v>
      </c>
      <c r="Y12" s="208"/>
    </row>
    <row r="13" spans="1:25" ht="15" x14ac:dyDescent="0.25">
      <c r="A13" s="228" t="s">
        <v>68</v>
      </c>
      <c r="B13" s="229">
        <f ca="1">SUM(B21:E21)</f>
        <v>0</v>
      </c>
      <c r="C13" s="229">
        <f>SUM(B24:E24)</f>
        <v>0</v>
      </c>
      <c r="D13" s="230">
        <f>SUM(B27:E27)</f>
        <v>0</v>
      </c>
      <c r="E13" s="3"/>
      <c r="F13" s="3"/>
      <c r="I13" s="218"/>
      <c r="J13" s="227" t="s">
        <v>231</v>
      </c>
      <c r="K13" s="227" t="s">
        <v>232</v>
      </c>
      <c r="L13" s="227"/>
      <c r="M13" s="208"/>
      <c r="N13" s="184"/>
      <c r="O13" s="218"/>
      <c r="P13" s="227" t="s">
        <v>231</v>
      </c>
      <c r="Q13" s="227" t="s">
        <v>232</v>
      </c>
      <c r="R13" s="227"/>
      <c r="S13" s="208"/>
      <c r="T13" s="184"/>
      <c r="U13" s="218"/>
      <c r="V13" s="227" t="s">
        <v>231</v>
      </c>
      <c r="W13" s="227" t="s">
        <v>232</v>
      </c>
      <c r="X13" s="227"/>
      <c r="Y13" s="208"/>
    </row>
    <row r="14" spans="1:25" ht="15" x14ac:dyDescent="0.25">
      <c r="A14" s="234" t="s">
        <v>424</v>
      </c>
      <c r="B14" s="201">
        <f ca="1">IF(I44+I51&lt;0,0,I44+I51)</f>
        <v>0</v>
      </c>
      <c r="C14" s="201">
        <f>IF(O44+O51&lt;0,0,O44+O51)</f>
        <v>0</v>
      </c>
      <c r="D14" s="201">
        <f ca="1">IF(U44+U51&lt;0,0,U44+U51)</f>
        <v>0</v>
      </c>
      <c r="E14" s="3"/>
      <c r="F14" s="3"/>
      <c r="I14" s="218"/>
      <c r="J14" s="213">
        <v>0</v>
      </c>
      <c r="K14" s="213"/>
      <c r="L14" s="213">
        <v>2123</v>
      </c>
      <c r="M14" s="208"/>
      <c r="N14" s="184"/>
      <c r="O14" s="218"/>
      <c r="P14" s="213">
        <f t="shared" ref="P14:R14" si="2">J14</f>
        <v>0</v>
      </c>
      <c r="Q14" s="213"/>
      <c r="R14" s="213">
        <f t="shared" si="2"/>
        <v>2123</v>
      </c>
      <c r="S14" s="208"/>
      <c r="T14" s="184"/>
      <c r="U14" s="218"/>
      <c r="V14" s="213">
        <f t="shared" ref="V14:X14" si="3">P14</f>
        <v>0</v>
      </c>
      <c r="W14" s="213"/>
      <c r="X14" s="213">
        <f t="shared" si="3"/>
        <v>2123</v>
      </c>
      <c r="Y14" s="208"/>
    </row>
    <row r="15" spans="1:25" ht="15.75" thickBot="1" x14ac:dyDescent="0.3">
      <c r="A15" s="231" t="s">
        <v>425</v>
      </c>
      <c r="B15" s="232">
        <f ca="1">IF(B13-B14&lt;0,0,B13-B14)</f>
        <v>0</v>
      </c>
      <c r="C15" s="232">
        <f>IF(C13-C14&lt;0,0,C13-C14)</f>
        <v>0</v>
      </c>
      <c r="D15" s="233">
        <f ca="1">IF(D13-D14&lt;0,0,D13-D14)</f>
        <v>0</v>
      </c>
      <c r="E15" s="3"/>
      <c r="F15" s="3"/>
      <c r="I15" s="218"/>
      <c r="J15" s="208"/>
      <c r="K15" s="208"/>
      <c r="L15" s="208"/>
      <c r="M15" s="208"/>
      <c r="N15" s="184"/>
      <c r="O15" s="218"/>
      <c r="P15" s="208"/>
      <c r="Q15" s="208"/>
      <c r="R15" s="208"/>
      <c r="S15" s="208"/>
      <c r="T15" s="184"/>
      <c r="U15" s="218"/>
      <c r="V15" s="208"/>
      <c r="W15" s="208"/>
      <c r="X15" s="208"/>
      <c r="Y15" s="208"/>
    </row>
    <row r="16" spans="1:25" ht="15.75" thickTop="1" x14ac:dyDescent="0.25">
      <c r="A16" s="3"/>
      <c r="B16" s="235" t="e">
        <f ca="1">B15/J2</f>
        <v>#DIV/0!</v>
      </c>
      <c r="C16" s="235" t="e">
        <f>C15/P2</f>
        <v>#DIV/0!</v>
      </c>
      <c r="D16" s="235" t="e">
        <f ca="1">D15/V2</f>
        <v>#DIV/0!</v>
      </c>
      <c r="E16" s="3"/>
      <c r="F16" s="3"/>
      <c r="I16" s="217">
        <f ca="1">IF(J$2&lt;=0,0,IF(OR(Privé!D$20=Dropdowns!$N$2,Privé!D$20=Dropdowns!$N$3),0,SUM(M19:M23)))</f>
        <v>0</v>
      </c>
      <c r="J16" s="515" t="s">
        <v>499</v>
      </c>
      <c r="K16" s="515"/>
      <c r="L16" s="515"/>
      <c r="M16" s="208"/>
      <c r="N16" s="184"/>
      <c r="O16" s="217">
        <f>IF(P$2&lt;=0,0,IF(OR(Privé!H$20=Dropdowns!$N$2,Privé!H$20=Dropdowns!$N$3),0,SUM(S19:S23)))</f>
        <v>0</v>
      </c>
      <c r="P16" s="515" t="str">
        <f>J16</f>
        <v>Meewerkaftrek (2022)</v>
      </c>
      <c r="Q16" s="515"/>
      <c r="R16" s="515"/>
      <c r="S16" s="208"/>
      <c r="T16" s="184"/>
      <c r="U16" s="217">
        <f>IF(V$2&lt;=0,0,IF(OR(Privé!L$20=Dropdowns!$N$2,Privé!L$20=Dropdowns!$N$3),0,SUM(Y19:Y23)))</f>
        <v>0</v>
      </c>
      <c r="V16" s="515" t="str">
        <f>J16</f>
        <v>Meewerkaftrek (2022)</v>
      </c>
      <c r="W16" s="515"/>
      <c r="X16" s="515"/>
      <c r="Y16" s="208"/>
    </row>
    <row r="17" spans="1:25" ht="15" x14ac:dyDescent="0.25">
      <c r="A17" s="191" t="s">
        <v>79</v>
      </c>
      <c r="B17" s="223">
        <f>B$6</f>
        <v>0.36549999999999999</v>
      </c>
      <c r="C17" s="200">
        <f>C$6</f>
        <v>0.40400000000000003</v>
      </c>
      <c r="D17" s="223">
        <f>D$6</f>
        <v>0.40400000000000003</v>
      </c>
      <c r="E17" s="224">
        <f>E$6</f>
        <v>0.52</v>
      </c>
      <c r="F17" s="3"/>
      <c r="I17" s="218"/>
      <c r="J17" s="514" t="s">
        <v>233</v>
      </c>
      <c r="K17" s="514"/>
      <c r="L17" s="211" t="s">
        <v>230</v>
      </c>
      <c r="M17" s="208"/>
      <c r="N17" s="184"/>
      <c r="O17" s="218"/>
      <c r="P17" s="514" t="s">
        <v>233</v>
      </c>
      <c r="Q17" s="514"/>
      <c r="R17" s="211" t="s">
        <v>230</v>
      </c>
      <c r="S17" s="208"/>
      <c r="T17" s="184"/>
      <c r="U17" s="218"/>
      <c r="V17" s="514" t="s">
        <v>233</v>
      </c>
      <c r="W17" s="514"/>
      <c r="X17" s="211" t="s">
        <v>230</v>
      </c>
      <c r="Y17" s="208"/>
    </row>
    <row r="18" spans="1:25" ht="15.75" thickBot="1" x14ac:dyDescent="0.3">
      <c r="A18" s="191" t="s">
        <v>78</v>
      </c>
      <c r="B18" s="201">
        <f>B$7</f>
        <v>19981</v>
      </c>
      <c r="C18" s="201">
        <f>C$7</f>
        <v>33715</v>
      </c>
      <c r="D18" s="201">
        <f>D$7</f>
        <v>66421</v>
      </c>
      <c r="E18" s="203"/>
      <c r="F18" s="3"/>
      <c r="I18" s="218"/>
      <c r="J18" s="227" t="s">
        <v>231</v>
      </c>
      <c r="K18" s="227" t="s">
        <v>232</v>
      </c>
      <c r="L18" s="227"/>
      <c r="M18" s="208"/>
      <c r="N18" s="184"/>
      <c r="O18" s="218"/>
      <c r="P18" s="227" t="s">
        <v>231</v>
      </c>
      <c r="Q18" s="227" t="s">
        <v>232</v>
      </c>
      <c r="R18" s="227"/>
      <c r="S18" s="208"/>
      <c r="T18" s="184"/>
      <c r="U18" s="218"/>
      <c r="V18" s="227" t="s">
        <v>231</v>
      </c>
      <c r="W18" s="227" t="s">
        <v>232</v>
      </c>
      <c r="X18" s="227"/>
      <c r="Y18" s="208"/>
    </row>
    <row r="19" spans="1:25" ht="15.75" thickTop="1" x14ac:dyDescent="0.25">
      <c r="A19" s="196" t="str">
        <f>$B$11</f>
        <v>Ondernemer:</v>
      </c>
      <c r="B19" s="197"/>
      <c r="C19" s="198"/>
      <c r="D19" s="198"/>
      <c r="E19" s="202"/>
      <c r="F19" s="3"/>
      <c r="I19" s="218"/>
      <c r="J19" s="214">
        <v>0</v>
      </c>
      <c r="K19" s="214">
        <v>525</v>
      </c>
      <c r="L19" s="215">
        <v>0</v>
      </c>
      <c r="M19" s="212">
        <f>IF(Privé!D$20=Dropdowns!$N$4,IB!J$2*IB!L19,0)</f>
        <v>0</v>
      </c>
      <c r="N19" s="184"/>
      <c r="O19" s="218"/>
      <c r="P19" s="214">
        <f t="shared" ref="P19:P23" si="4">J19</f>
        <v>0</v>
      </c>
      <c r="Q19" s="214">
        <f t="shared" ref="Q19:Q22" si="5">K19</f>
        <v>525</v>
      </c>
      <c r="R19" s="215">
        <f t="shared" ref="R19:R23" si="6">L19</f>
        <v>0</v>
      </c>
      <c r="S19" s="212">
        <f>IF(Privé!H$20=Dropdowns!$N4,IB!P$2*IB!R19,0)</f>
        <v>0</v>
      </c>
      <c r="T19" s="184"/>
      <c r="U19" s="218"/>
      <c r="V19" s="214">
        <f t="shared" ref="V19:V23" si="7">P19</f>
        <v>0</v>
      </c>
      <c r="W19" s="214">
        <f t="shared" ref="W19:W22" si="8">Q19</f>
        <v>525</v>
      </c>
      <c r="X19" s="215">
        <f t="shared" ref="X19:X23" si="9">R19</f>
        <v>0</v>
      </c>
      <c r="Y19" s="212">
        <f>IF(Privé!L$20=Dropdowns!$N4,IB!V$2*IB!X19,0)</f>
        <v>0</v>
      </c>
    </row>
    <row r="20" spans="1:25" ht="15" x14ac:dyDescent="0.25">
      <c r="A20" s="177" t="s">
        <v>67</v>
      </c>
      <c r="B20" s="204">
        <f ca="1">IF($B12&lt;B18,$B12,B18)</f>
        <v>0</v>
      </c>
      <c r="C20" s="204">
        <f ca="1">IF($B12-B20&gt;C18,C18,$B12-B20)</f>
        <v>0</v>
      </c>
      <c r="D20" s="204">
        <f ca="1">IF($B12-(B20+C20)&gt;D18,D18,$B12-(B20+C20))</f>
        <v>0</v>
      </c>
      <c r="E20" s="205">
        <f ca="1">IF(D20&lt;D18,0,$B12-SUM(B20:D20))</f>
        <v>0</v>
      </c>
      <c r="F20" s="3"/>
      <c r="I20" s="218"/>
      <c r="J20" s="214">
        <f>K19</f>
        <v>525</v>
      </c>
      <c r="K20" s="214">
        <v>875</v>
      </c>
      <c r="L20" s="215">
        <v>1.2500000000000001E-2</v>
      </c>
      <c r="M20" s="212">
        <f>IF(Privé!D$20=Dropdowns!$N$5,IB!J$2*IB!L20,0)</f>
        <v>0</v>
      </c>
      <c r="N20" s="184"/>
      <c r="O20" s="218"/>
      <c r="P20" s="214">
        <f t="shared" si="4"/>
        <v>525</v>
      </c>
      <c r="Q20" s="214">
        <f t="shared" si="5"/>
        <v>875</v>
      </c>
      <c r="R20" s="215">
        <f t="shared" si="6"/>
        <v>1.2500000000000001E-2</v>
      </c>
      <c r="S20" s="212">
        <f>IF(Privé!H$20=Dropdowns!$N5,IB!P$2*IB!R20,0)</f>
        <v>0</v>
      </c>
      <c r="T20" s="184"/>
      <c r="U20" s="218"/>
      <c r="V20" s="214">
        <f t="shared" si="7"/>
        <v>525</v>
      </c>
      <c r="W20" s="214">
        <f t="shared" si="8"/>
        <v>875</v>
      </c>
      <c r="X20" s="215">
        <f t="shared" si="9"/>
        <v>1.2500000000000001E-2</v>
      </c>
      <c r="Y20" s="212">
        <f>IF(Privé!L$20=Dropdowns!$N5,IB!V$2*IB!X20,0)</f>
        <v>0</v>
      </c>
    </row>
    <row r="21" spans="1:25" ht="15.75" thickBot="1" x14ac:dyDescent="0.3">
      <c r="A21" s="199" t="s">
        <v>77</v>
      </c>
      <c r="B21" s="194">
        <f ca="1">B17*B20</f>
        <v>0</v>
      </c>
      <c r="C21" s="194">
        <f ca="1">C17*C20</f>
        <v>0</v>
      </c>
      <c r="D21" s="194">
        <f ca="1">D17*D20</f>
        <v>0</v>
      </c>
      <c r="E21" s="195">
        <f ca="1">E17*E20</f>
        <v>0</v>
      </c>
      <c r="F21" s="3"/>
      <c r="I21" s="218"/>
      <c r="J21" s="214">
        <f>K20</f>
        <v>875</v>
      </c>
      <c r="K21" s="214">
        <v>1225</v>
      </c>
      <c r="L21" s="215">
        <v>0.02</v>
      </c>
      <c r="M21" s="212">
        <f>IF(Privé!D$20=Dropdowns!$N$6,IB!J$2*IB!L21,0)</f>
        <v>0</v>
      </c>
      <c r="N21" s="184"/>
      <c r="O21" s="218"/>
      <c r="P21" s="214">
        <f t="shared" si="4"/>
        <v>875</v>
      </c>
      <c r="Q21" s="214">
        <f t="shared" si="5"/>
        <v>1225</v>
      </c>
      <c r="R21" s="215">
        <f t="shared" si="6"/>
        <v>0.02</v>
      </c>
      <c r="S21" s="212">
        <f>IF(Privé!H$20=Dropdowns!$N6,IB!P$2*IB!R21,0)</f>
        <v>0</v>
      </c>
      <c r="T21" s="184"/>
      <c r="U21" s="218"/>
      <c r="V21" s="214">
        <f t="shared" si="7"/>
        <v>875</v>
      </c>
      <c r="W21" s="214">
        <f t="shared" si="8"/>
        <v>1225</v>
      </c>
      <c r="X21" s="215">
        <f t="shared" si="9"/>
        <v>0.02</v>
      </c>
      <c r="Y21" s="212">
        <f>IF(Privé!L$20=Dropdowns!$N6,IB!V$2*IB!X21,0)</f>
        <v>0</v>
      </c>
    </row>
    <row r="22" spans="1:25" ht="15.75" thickTop="1" x14ac:dyDescent="0.25">
      <c r="A22" s="196" t="str">
        <f>$C$11</f>
        <v>Ondernemer:</v>
      </c>
      <c r="B22" s="197"/>
      <c r="C22" s="198"/>
      <c r="D22" s="198"/>
      <c r="E22" s="202"/>
      <c r="F22" s="3"/>
      <c r="I22" s="218"/>
      <c r="J22" s="214">
        <f>K21</f>
        <v>1225</v>
      </c>
      <c r="K22" s="214">
        <v>1750</v>
      </c>
      <c r="L22" s="215">
        <v>0.03</v>
      </c>
      <c r="M22" s="212">
        <f>IF(Privé!D$20=Dropdowns!$N$7,IB!J$2*IB!L22,0)</f>
        <v>0</v>
      </c>
      <c r="N22" s="184"/>
      <c r="O22" s="218"/>
      <c r="P22" s="214">
        <f t="shared" si="4"/>
        <v>1225</v>
      </c>
      <c r="Q22" s="214">
        <f t="shared" si="5"/>
        <v>1750</v>
      </c>
      <c r="R22" s="215">
        <f t="shared" si="6"/>
        <v>0.03</v>
      </c>
      <c r="S22" s="212">
        <f>IF(Privé!H$20=Dropdowns!$N7,IB!P$2*IB!R22,0)</f>
        <v>0</v>
      </c>
      <c r="T22" s="184"/>
      <c r="U22" s="218"/>
      <c r="V22" s="214">
        <f t="shared" si="7"/>
        <v>1225</v>
      </c>
      <c r="W22" s="214">
        <f t="shared" si="8"/>
        <v>1750</v>
      </c>
      <c r="X22" s="215">
        <f t="shared" si="9"/>
        <v>0.03</v>
      </c>
      <c r="Y22" s="212">
        <f>IF(Privé!L$20=Dropdowns!$N7,IB!V$2*IB!X22,0)</f>
        <v>0</v>
      </c>
    </row>
    <row r="23" spans="1:25" ht="15" x14ac:dyDescent="0.25">
      <c r="A23" s="177" t="s">
        <v>67</v>
      </c>
      <c r="B23" s="204">
        <f>IF(C12&lt;B18,C12,B18)</f>
        <v>0</v>
      </c>
      <c r="C23" s="204">
        <f>IF($C12-B23&gt;C18,C18,$C12-B23)</f>
        <v>0</v>
      </c>
      <c r="D23" s="204">
        <f>IF($C12-(B23+C23)&gt;D18,D18,$C12-(B23+C23))</f>
        <v>0</v>
      </c>
      <c r="E23" s="205">
        <f>IF(D23&lt;D18,0,$C12-SUM(B23:D23))</f>
        <v>0</v>
      </c>
      <c r="F23" s="3"/>
      <c r="I23" s="218"/>
      <c r="J23" s="214">
        <f>K22</f>
        <v>1750</v>
      </c>
      <c r="K23" s="214"/>
      <c r="L23" s="215">
        <v>0.04</v>
      </c>
      <c r="M23" s="212">
        <f>IF(Privé!D$20=Dropdowns!$N$8,IB!J$2*IB!L23,0)</f>
        <v>0</v>
      </c>
      <c r="N23" s="184"/>
      <c r="O23" s="218"/>
      <c r="P23" s="214">
        <f t="shared" si="4"/>
        <v>1750</v>
      </c>
      <c r="Q23" s="214"/>
      <c r="R23" s="215">
        <f t="shared" si="6"/>
        <v>0.04</v>
      </c>
      <c r="S23" s="212">
        <f>IF(Privé!H$20=Dropdowns!$N8,IB!P$2*IB!R23,0)</f>
        <v>0</v>
      </c>
      <c r="T23" s="184"/>
      <c r="U23" s="218"/>
      <c r="V23" s="214">
        <f t="shared" si="7"/>
        <v>1750</v>
      </c>
      <c r="W23" s="214"/>
      <c r="X23" s="215">
        <f t="shared" si="9"/>
        <v>0.04</v>
      </c>
      <c r="Y23" s="212">
        <f>IF(Privé!L$20=Dropdowns!$N8,IB!V$2*IB!X23,0)</f>
        <v>0</v>
      </c>
    </row>
    <row r="24" spans="1:25" ht="15.75" thickBot="1" x14ac:dyDescent="0.3">
      <c r="A24" s="199" t="s">
        <v>77</v>
      </c>
      <c r="B24" s="194">
        <f>B17*B23</f>
        <v>0</v>
      </c>
      <c r="C24" s="194">
        <f>C17*C23</f>
        <v>0</v>
      </c>
      <c r="D24" s="194">
        <f>D17*D23</f>
        <v>0</v>
      </c>
      <c r="E24" s="195">
        <f>E17*E23</f>
        <v>0</v>
      </c>
      <c r="F24" s="3"/>
      <c r="I24" s="218"/>
      <c r="J24" s="208"/>
      <c r="K24" s="208"/>
      <c r="L24" s="208"/>
      <c r="M24" s="208"/>
      <c r="N24" s="184"/>
      <c r="O24" s="218"/>
      <c r="P24" s="208"/>
      <c r="Q24" s="208"/>
      <c r="R24" s="208"/>
      <c r="S24" s="208"/>
      <c r="T24" s="184"/>
      <c r="U24" s="218"/>
      <c r="V24" s="208"/>
      <c r="W24" s="208"/>
      <c r="X24" s="208"/>
      <c r="Y24" s="208"/>
    </row>
    <row r="25" spans="1:25" ht="15.75" thickTop="1" x14ac:dyDescent="0.25">
      <c r="A25" s="196" t="str">
        <f>$D$11</f>
        <v>Ondernemer:</v>
      </c>
      <c r="B25" s="197"/>
      <c r="C25" s="198"/>
      <c r="D25" s="198"/>
      <c r="E25" s="202"/>
      <c r="F25" s="3"/>
      <c r="I25" s="217">
        <f>IF(J$3&lt;=0,0,IF(OR(Privé!D$21=Dropdowns!$B$2,Privé!D$21=Dropdowns!$B$4),0,SUM(M28:M32)))</f>
        <v>0</v>
      </c>
      <c r="J25" s="515" t="s">
        <v>500</v>
      </c>
      <c r="K25" s="515"/>
      <c r="L25" s="515"/>
      <c r="M25" s="208"/>
      <c r="N25" s="184"/>
      <c r="O25" s="217">
        <f>IF(P$3&lt;=0,0,IF(OR(Privé!H$21=Dropdowns!$B$2,Privé!H$21=Dropdowns!$B$4),0,SUM(S28:S32)))</f>
        <v>0</v>
      </c>
      <c r="P25" s="515" t="str">
        <f>J25</f>
        <v>Investeringsaftrek (2022)</v>
      </c>
      <c r="Q25" s="515"/>
      <c r="R25" s="515"/>
      <c r="S25" s="208"/>
      <c r="T25" s="184"/>
      <c r="U25" s="217">
        <f>IF(V$3&lt;=0,0,IF(OR(Privé!L$21=Dropdowns!$B$2,Privé!L$21=Dropdowns!$B$4),0,SUM(Y28:Y32)))</f>
        <v>0</v>
      </c>
      <c r="V25" s="515" t="str">
        <f>J25</f>
        <v>Investeringsaftrek (2022)</v>
      </c>
      <c r="W25" s="515"/>
      <c r="X25" s="515"/>
      <c r="Y25" s="208"/>
    </row>
    <row r="26" spans="1:25" ht="15" x14ac:dyDescent="0.25">
      <c r="A26" s="177" t="s">
        <v>67</v>
      </c>
      <c r="B26" s="204">
        <f>IF($D12&lt;B18,$D12,B18)</f>
        <v>0</v>
      </c>
      <c r="C26" s="204">
        <f>IF($D12-B26&gt;C18,C18,$D12-B26)</f>
        <v>0</v>
      </c>
      <c r="D26" s="204">
        <f>IF($D12-(B26+C26)&gt;D18,D18,$D12-(B26+C26))</f>
        <v>0</v>
      </c>
      <c r="E26" s="205">
        <f>IF(D26&lt;D18,0,$D12-SUM(B26:D26))</f>
        <v>0</v>
      </c>
      <c r="F26" s="3"/>
      <c r="I26" s="218"/>
      <c r="J26" s="514" t="s">
        <v>234</v>
      </c>
      <c r="K26" s="514"/>
      <c r="L26" s="211" t="s">
        <v>230</v>
      </c>
      <c r="M26" s="208"/>
      <c r="N26" s="184"/>
      <c r="O26" s="218"/>
      <c r="P26" s="514" t="s">
        <v>234</v>
      </c>
      <c r="Q26" s="514"/>
      <c r="R26" s="211" t="s">
        <v>230</v>
      </c>
      <c r="S26" s="208"/>
      <c r="T26" s="184"/>
      <c r="U26" s="218"/>
      <c r="V26" s="514" t="s">
        <v>234</v>
      </c>
      <c r="W26" s="514"/>
      <c r="X26" s="211" t="s">
        <v>230</v>
      </c>
      <c r="Y26" s="208"/>
    </row>
    <row r="27" spans="1:25" ht="15.75" thickBot="1" x14ac:dyDescent="0.3">
      <c r="A27" s="199" t="s">
        <v>77</v>
      </c>
      <c r="B27" s="194">
        <f>B17*B26</f>
        <v>0</v>
      </c>
      <c r="C27" s="194">
        <f>C17*C26</f>
        <v>0</v>
      </c>
      <c r="D27" s="194">
        <f>D17*D26</f>
        <v>0</v>
      </c>
      <c r="E27" s="195">
        <f>E17*E26</f>
        <v>0</v>
      </c>
      <c r="F27" s="3"/>
      <c r="I27" s="218"/>
      <c r="J27" s="227" t="s">
        <v>231</v>
      </c>
      <c r="K27" s="227" t="s">
        <v>232</v>
      </c>
      <c r="L27" s="227"/>
      <c r="M27" s="208"/>
      <c r="N27" s="184"/>
      <c r="O27" s="218"/>
      <c r="P27" s="227" t="s">
        <v>231</v>
      </c>
      <c r="Q27" s="227" t="s">
        <v>232</v>
      </c>
      <c r="R27" s="227"/>
      <c r="S27" s="208"/>
      <c r="T27" s="184"/>
      <c r="U27" s="218"/>
      <c r="V27" s="227" t="s">
        <v>231</v>
      </c>
      <c r="W27" s="227" t="s">
        <v>232</v>
      </c>
      <c r="X27" s="227"/>
      <c r="Y27" s="208"/>
    </row>
    <row r="28" spans="1:25" ht="15.75" thickTop="1" x14ac:dyDescent="0.25">
      <c r="A28" s="3"/>
      <c r="B28" s="3"/>
      <c r="C28" s="3"/>
      <c r="D28" s="3"/>
      <c r="E28" s="3"/>
      <c r="F28" s="3"/>
      <c r="I28" s="218"/>
      <c r="J28" s="216">
        <v>0</v>
      </c>
      <c r="K28" s="216">
        <v>2401</v>
      </c>
      <c r="L28" s="215">
        <v>0</v>
      </c>
      <c r="M28" s="212">
        <f>IF(AND(J$3&gt;=J28,J$3&lt;K28),L28*J$3,0)</f>
        <v>0</v>
      </c>
      <c r="N28" s="184"/>
      <c r="O28" s="218"/>
      <c r="P28" s="216">
        <f t="shared" ref="P28:P32" si="10">J28</f>
        <v>0</v>
      </c>
      <c r="Q28" s="216">
        <f t="shared" ref="Q28:Q31" si="11">K28</f>
        <v>2401</v>
      </c>
      <c r="R28" s="215">
        <f t="shared" ref="R28:R32" si="12">L28</f>
        <v>0</v>
      </c>
      <c r="S28" s="212">
        <f>IF(AND(P$3&gt;=P28,P$3&lt;Q28),R28*P$3,0)</f>
        <v>0</v>
      </c>
      <c r="T28" s="184"/>
      <c r="U28" s="218"/>
      <c r="V28" s="216">
        <f t="shared" ref="V28:V32" si="13">P28</f>
        <v>0</v>
      </c>
      <c r="W28" s="216">
        <f t="shared" ref="W28:W31" si="14">Q28</f>
        <v>2401</v>
      </c>
      <c r="X28" s="215">
        <f t="shared" ref="X28:X32" si="15">R28</f>
        <v>0</v>
      </c>
      <c r="Y28" s="212">
        <f>IF(AND(V$3&gt;=V28,V$3&lt;W28),X28*V$3,0)</f>
        <v>0</v>
      </c>
    </row>
    <row r="29" spans="1:25" ht="15.75" thickBot="1" x14ac:dyDescent="0.3">
      <c r="A29" s="3"/>
      <c r="B29" s="3"/>
      <c r="C29" s="3"/>
      <c r="D29" s="3"/>
      <c r="E29" s="3"/>
      <c r="F29" s="3"/>
      <c r="I29" s="218"/>
      <c r="J29" s="213">
        <f>K28</f>
        <v>2401</v>
      </c>
      <c r="K29" s="213">
        <v>59940</v>
      </c>
      <c r="L29" s="215">
        <v>0.28000000000000003</v>
      </c>
      <c r="M29" s="212">
        <f>IF(AND(J$3&gt;=J29,J$3&lt;K29),L29*J$3,0)</f>
        <v>0</v>
      </c>
      <c r="N29" s="184"/>
      <c r="O29" s="218"/>
      <c r="P29" s="213">
        <f t="shared" si="10"/>
        <v>2401</v>
      </c>
      <c r="Q29" s="213">
        <f t="shared" si="11"/>
        <v>59940</v>
      </c>
      <c r="R29" s="215">
        <f t="shared" si="12"/>
        <v>0.28000000000000003</v>
      </c>
      <c r="S29" s="212">
        <f>IF(AND(P$3&gt;=P29,P$3&lt;Q29),R29*P$3,0)</f>
        <v>0</v>
      </c>
      <c r="T29" s="184"/>
      <c r="U29" s="218"/>
      <c r="V29" s="213">
        <f t="shared" si="13"/>
        <v>2401</v>
      </c>
      <c r="W29" s="213">
        <f t="shared" si="14"/>
        <v>59940</v>
      </c>
      <c r="X29" s="215">
        <f t="shared" si="15"/>
        <v>0.28000000000000003</v>
      </c>
      <c r="Y29" s="212">
        <f>IF(AND(V$3&gt;=V29,V$3&lt;W29),X29*V$3,0)</f>
        <v>0</v>
      </c>
    </row>
    <row r="30" spans="1:25" ht="16.5" thickTop="1" thickBot="1" x14ac:dyDescent="0.3">
      <c r="A30" s="407">
        <f>Exploitatie!$G$8</f>
        <v>2024</v>
      </c>
      <c r="B30" s="185"/>
      <c r="F30" s="3"/>
      <c r="I30" s="218"/>
      <c r="J30" s="213">
        <f>K29</f>
        <v>59940</v>
      </c>
      <c r="K30" s="213">
        <v>110999</v>
      </c>
      <c r="L30" s="213">
        <v>16784</v>
      </c>
      <c r="M30" s="212">
        <f>IF(AND(J$3&gt;=J30,J$3&lt;K30),L30,0)</f>
        <v>0</v>
      </c>
      <c r="N30" s="184"/>
      <c r="O30" s="218"/>
      <c r="P30" s="213">
        <f t="shared" si="10"/>
        <v>59940</v>
      </c>
      <c r="Q30" s="213">
        <f t="shared" si="11"/>
        <v>110999</v>
      </c>
      <c r="R30" s="213">
        <f t="shared" si="12"/>
        <v>16784</v>
      </c>
      <c r="S30" s="212">
        <f>IF(AND(P$3&gt;=P30,P$3&lt;Q30),R30,0)</f>
        <v>0</v>
      </c>
      <c r="T30" s="184"/>
      <c r="U30" s="218"/>
      <c r="V30" s="213">
        <f t="shared" si="13"/>
        <v>59940</v>
      </c>
      <c r="W30" s="213">
        <f t="shared" si="14"/>
        <v>110999</v>
      </c>
      <c r="X30" s="213">
        <f t="shared" si="15"/>
        <v>16784</v>
      </c>
      <c r="Y30" s="212">
        <f>IF(AND(V$3&gt;=V30,V$3&lt;W30),X30,0)</f>
        <v>0</v>
      </c>
    </row>
    <row r="31" spans="1:25" ht="15.75" thickTop="1" x14ac:dyDescent="0.25">
      <c r="A31" s="186" t="s">
        <v>412</v>
      </c>
      <c r="B31" s="187" t="str">
        <f>B11</f>
        <v>Ondernemer:</v>
      </c>
      <c r="C31" s="187" t="str">
        <f>C11</f>
        <v>Ondernemer:</v>
      </c>
      <c r="D31" s="188" t="str">
        <f>D11</f>
        <v>Ondernemer:</v>
      </c>
      <c r="E31" s="3"/>
      <c r="I31" s="218"/>
      <c r="J31" s="213">
        <f>K30</f>
        <v>110999</v>
      </c>
      <c r="K31" s="213">
        <v>332995</v>
      </c>
      <c r="L31" s="215">
        <v>7.5600000000000001E-2</v>
      </c>
      <c r="M31" s="212">
        <f>IF(AND(J$3&gt;=J31,J$3&lt;K31),L30-((J$3-100000)*L31),0)</f>
        <v>0</v>
      </c>
      <c r="N31" s="184"/>
      <c r="O31" s="218"/>
      <c r="P31" s="213">
        <f t="shared" si="10"/>
        <v>110999</v>
      </c>
      <c r="Q31" s="213">
        <f t="shared" si="11"/>
        <v>332995</v>
      </c>
      <c r="R31" s="215">
        <f t="shared" si="12"/>
        <v>7.5600000000000001E-2</v>
      </c>
      <c r="S31" s="212">
        <f>IF(AND(P$3&gt;=P31,P$3&lt;Q31),R30-((P$3-100000)*R31),0)</f>
        <v>0</v>
      </c>
      <c r="T31" s="184"/>
      <c r="U31" s="218"/>
      <c r="V31" s="213">
        <f t="shared" si="13"/>
        <v>110999</v>
      </c>
      <c r="W31" s="213">
        <f t="shared" si="14"/>
        <v>332995</v>
      </c>
      <c r="X31" s="215">
        <f t="shared" si="15"/>
        <v>7.5600000000000001E-2</v>
      </c>
      <c r="Y31" s="212">
        <f>IF(AND(V$3&gt;=V31,V$3&lt;W31),X30-((V$3-100000)*X31),0)</f>
        <v>0</v>
      </c>
    </row>
    <row r="32" spans="1:25" ht="15" x14ac:dyDescent="0.25">
      <c r="A32" s="189" t="s">
        <v>67</v>
      </c>
      <c r="B32" s="190">
        <f ca="1">IF(J63-J65&lt;0,0,(J63-J65))</f>
        <v>0</v>
      </c>
      <c r="C32" s="190">
        <f>IF(P63-P65&lt;0,0,(P63-P65))</f>
        <v>0</v>
      </c>
      <c r="D32" s="190">
        <f>IF(V63-V65&lt;0,0,(V63-V65))</f>
        <v>0</v>
      </c>
      <c r="E32" s="3"/>
      <c r="I32" s="218"/>
      <c r="J32" s="213">
        <f>K31</f>
        <v>332995</v>
      </c>
      <c r="K32" s="213"/>
      <c r="L32" s="215">
        <v>0</v>
      </c>
      <c r="M32" s="212">
        <f>IF(J$3&gt;=J32,J$3*L32,0)</f>
        <v>0</v>
      </c>
      <c r="N32" s="184"/>
      <c r="O32" s="218"/>
      <c r="P32" s="213">
        <f t="shared" si="10"/>
        <v>332995</v>
      </c>
      <c r="Q32" s="213"/>
      <c r="R32" s="215">
        <f t="shared" si="12"/>
        <v>0</v>
      </c>
      <c r="S32" s="212">
        <f>IF(P$3&gt;=P32,P$3*R32,0)</f>
        <v>0</v>
      </c>
      <c r="T32" s="184"/>
      <c r="U32" s="218"/>
      <c r="V32" s="213">
        <f t="shared" si="13"/>
        <v>332995</v>
      </c>
      <c r="W32" s="213"/>
      <c r="X32" s="215">
        <f t="shared" si="15"/>
        <v>0</v>
      </c>
      <c r="Y32" s="212">
        <f>IF(V$3&gt;=V32,V$3*X32,0)</f>
        <v>0</v>
      </c>
    </row>
    <row r="33" spans="1:26" ht="15" x14ac:dyDescent="0.25">
      <c r="A33" s="228" t="s">
        <v>68</v>
      </c>
      <c r="B33" s="229">
        <f ca="1">SUM(B41:E41)</f>
        <v>0</v>
      </c>
      <c r="C33" s="229">
        <f>SUM(B44:E44)</f>
        <v>0</v>
      </c>
      <c r="D33" s="230">
        <f>SUM(B47:E47)</f>
        <v>0</v>
      </c>
      <c r="E33" s="3"/>
      <c r="I33" s="218"/>
      <c r="J33" s="208"/>
      <c r="K33" s="208"/>
      <c r="L33" s="208"/>
      <c r="M33" s="208"/>
      <c r="N33" s="184"/>
      <c r="O33" s="218"/>
      <c r="P33" s="208"/>
      <c r="Q33" s="208"/>
      <c r="R33" s="208"/>
      <c r="S33" s="208"/>
      <c r="T33" s="184"/>
      <c r="U33" s="218"/>
      <c r="V33" s="208"/>
      <c r="W33" s="208"/>
      <c r="X33" s="208"/>
      <c r="Y33" s="208"/>
    </row>
    <row r="34" spans="1:26" ht="15" x14ac:dyDescent="0.25">
      <c r="A34" s="234" t="s">
        <v>424</v>
      </c>
      <c r="B34" s="201">
        <f ca="1">IF(I105+I112&lt;0,0,I105+I112)</f>
        <v>0</v>
      </c>
      <c r="C34" s="201">
        <f>IF(O105+O112&lt;0,0,O105+O112)</f>
        <v>0</v>
      </c>
      <c r="D34" s="201">
        <f>IF(U105+U112&lt;0,0,U105+U112)</f>
        <v>0</v>
      </c>
      <c r="E34" s="3"/>
      <c r="I34" s="218"/>
      <c r="J34" s="515" t="s">
        <v>501</v>
      </c>
      <c r="K34" s="515"/>
      <c r="L34" s="515"/>
      <c r="M34" s="208"/>
      <c r="N34" s="184"/>
      <c r="O34" s="218"/>
      <c r="P34" s="515" t="str">
        <f>J34</f>
        <v>MKB-winstvrijstelling (2022)</v>
      </c>
      <c r="Q34" s="515"/>
      <c r="R34" s="515"/>
      <c r="S34" s="208"/>
      <c r="T34" s="184"/>
      <c r="U34" s="218"/>
      <c r="V34" s="515" t="str">
        <f>J34</f>
        <v>MKB-winstvrijstelling (2022)</v>
      </c>
      <c r="W34" s="515"/>
      <c r="X34" s="515"/>
      <c r="Y34" s="208"/>
    </row>
    <row r="35" spans="1:26" ht="15.75" thickBot="1" x14ac:dyDescent="0.3">
      <c r="A35" s="231" t="s">
        <v>425</v>
      </c>
      <c r="B35" s="232">
        <f ca="1">IF(B33-B34&lt;0,0,B33-B34)</f>
        <v>0</v>
      </c>
      <c r="C35" s="232">
        <f>IF(C33-C34&lt;0,0,C33-C34)</f>
        <v>0</v>
      </c>
      <c r="D35" s="233">
        <f>IF(D33-D34&lt;0,0,D33-D34)</f>
        <v>0</v>
      </c>
      <c r="E35" s="3"/>
      <c r="I35" s="218"/>
      <c r="J35" s="514" t="s">
        <v>235</v>
      </c>
      <c r="K35" s="514"/>
      <c r="L35" s="211" t="s">
        <v>230</v>
      </c>
      <c r="M35" s="208"/>
      <c r="N35" s="184"/>
      <c r="O35" s="218"/>
      <c r="P35" s="514" t="s">
        <v>235</v>
      </c>
      <c r="Q35" s="514"/>
      <c r="R35" s="211" t="s">
        <v>230</v>
      </c>
      <c r="S35" s="208"/>
      <c r="T35" s="184"/>
      <c r="U35" s="218"/>
      <c r="V35" s="514" t="s">
        <v>235</v>
      </c>
      <c r="W35" s="514"/>
      <c r="X35" s="211" t="s">
        <v>230</v>
      </c>
      <c r="Y35" s="208"/>
    </row>
    <row r="36" spans="1:26" ht="15.75" thickTop="1" x14ac:dyDescent="0.25">
      <c r="A36" s="3"/>
      <c r="B36" s="235" t="e">
        <f ca="1">B35/J63</f>
        <v>#DIV/0!</v>
      </c>
      <c r="C36" s="235" t="e">
        <f>C35/P63</f>
        <v>#DIV/0!</v>
      </c>
      <c r="D36" s="235" t="e">
        <f>D35/V63</f>
        <v>#DIV/0!</v>
      </c>
      <c r="E36" s="3"/>
      <c r="I36" s="217">
        <f ca="1">IF(OR(Privé!D$22=Dropdowns!$B$2,Privé!D$22=Dropdowns!$B$4),0,IF(J$2-I$6-I$11-I$16&lt;0,0,(J$2-I$6-I$11-I$16)*L$37))</f>
        <v>0</v>
      </c>
      <c r="J36" s="227" t="s">
        <v>231</v>
      </c>
      <c r="K36" s="227" t="s">
        <v>232</v>
      </c>
      <c r="L36" s="227"/>
      <c r="M36" s="208"/>
      <c r="N36" s="184"/>
      <c r="O36" s="217">
        <f>IF(OR(Privé!H$22=Dropdowns!$B$2,Privé!H$22=Dropdowns!$B$4),0,IF(P$2-O$6-O$11-O$16&lt;0,0,(P$2-O$6-O$11-O$16)*R$37))</f>
        <v>0</v>
      </c>
      <c r="P36" s="227" t="s">
        <v>231</v>
      </c>
      <c r="Q36" s="227" t="s">
        <v>232</v>
      </c>
      <c r="R36" s="227"/>
      <c r="S36" s="208"/>
      <c r="T36" s="184"/>
      <c r="U36" s="217">
        <f>IF(OR(Privé!L$22=Dropdowns!$B$2,Privé!L$22=Dropdowns!$B$4),0,IF(V$2-U$6-U$11-U$16&lt;0,0,(V$2-U$6-U$11-U$16)*X$37))</f>
        <v>0</v>
      </c>
      <c r="V36" s="227" t="s">
        <v>231</v>
      </c>
      <c r="W36" s="227" t="s">
        <v>232</v>
      </c>
      <c r="X36" s="227"/>
      <c r="Y36" s="208"/>
    </row>
    <row r="37" spans="1:26" ht="15" x14ac:dyDescent="0.25">
      <c r="A37" s="191" t="s">
        <v>79</v>
      </c>
      <c r="B37" s="223">
        <f>B$6</f>
        <v>0.36549999999999999</v>
      </c>
      <c r="C37" s="200">
        <f>C$6</f>
        <v>0.40400000000000003</v>
      </c>
      <c r="D37" s="223">
        <f>D$6</f>
        <v>0.40400000000000003</v>
      </c>
      <c r="E37" s="224">
        <f>E$6</f>
        <v>0.52</v>
      </c>
      <c r="I37" s="219"/>
      <c r="J37" s="213">
        <v>0</v>
      </c>
      <c r="K37" s="213"/>
      <c r="L37" s="215">
        <v>0.14000000000000001</v>
      </c>
      <c r="M37" s="210"/>
      <c r="N37" s="184"/>
      <c r="O37" s="219"/>
      <c r="P37" s="213">
        <f t="shared" ref="P37:R37" si="16">J37</f>
        <v>0</v>
      </c>
      <c r="Q37" s="213"/>
      <c r="R37" s="215">
        <f t="shared" si="16"/>
        <v>0.14000000000000001</v>
      </c>
      <c r="S37" s="210"/>
      <c r="T37" s="184"/>
      <c r="U37" s="219"/>
      <c r="V37" s="213">
        <f t="shared" ref="V37:X37" si="17">P37</f>
        <v>0</v>
      </c>
      <c r="W37" s="213"/>
      <c r="X37" s="215">
        <f t="shared" si="17"/>
        <v>0.14000000000000001</v>
      </c>
      <c r="Y37" s="210"/>
    </row>
    <row r="38" spans="1:26" ht="15.75" thickBot="1" x14ac:dyDescent="0.3">
      <c r="A38" s="191" t="s">
        <v>78</v>
      </c>
      <c r="B38" s="201">
        <f>B$7</f>
        <v>19981</v>
      </c>
      <c r="C38" s="201">
        <f>C$7</f>
        <v>33715</v>
      </c>
      <c r="D38" s="201">
        <f>D$7</f>
        <v>66421</v>
      </c>
      <c r="E38" s="203"/>
      <c r="I38" s="219"/>
      <c r="J38" s="184"/>
      <c r="K38" s="184"/>
      <c r="L38" s="184"/>
      <c r="M38" s="184"/>
      <c r="N38" s="184"/>
      <c r="O38" s="219"/>
      <c r="P38" s="184"/>
      <c r="Q38" s="184"/>
      <c r="R38" s="184"/>
      <c r="S38" s="184"/>
      <c r="T38" s="184"/>
      <c r="U38" s="219"/>
      <c r="V38" s="184"/>
      <c r="W38" s="184"/>
      <c r="X38" s="184"/>
      <c r="Y38" s="184"/>
    </row>
    <row r="39" spans="1:26" ht="15.75" thickTop="1" x14ac:dyDescent="0.25">
      <c r="A39" s="196" t="str">
        <f>$B$11</f>
        <v>Ondernemer:</v>
      </c>
      <c r="B39" s="197"/>
      <c r="C39" s="198"/>
      <c r="D39" s="198"/>
      <c r="E39" s="202"/>
      <c r="I39" s="218"/>
      <c r="J39" s="515" t="s">
        <v>502</v>
      </c>
      <c r="K39" s="515"/>
      <c r="L39" s="515"/>
      <c r="M39" s="208"/>
      <c r="N39" s="184"/>
      <c r="O39" s="218"/>
      <c r="P39" s="515" t="str">
        <f>J39</f>
        <v>Ouderdagsreserve (2022)</v>
      </c>
      <c r="Q39" s="515"/>
      <c r="R39" s="515"/>
      <c r="S39" s="208"/>
      <c r="T39" s="184"/>
      <c r="U39" s="218"/>
      <c r="V39" s="515" t="str">
        <f>J39</f>
        <v>Ouderdagsreserve (2022)</v>
      </c>
      <c r="W39" s="515"/>
      <c r="X39" s="515"/>
      <c r="Y39" s="208"/>
    </row>
    <row r="40" spans="1:26" ht="15" x14ac:dyDescent="0.25">
      <c r="A40" s="177" t="s">
        <v>67</v>
      </c>
      <c r="B40" s="204">
        <f ca="1">IF($B32&lt;B38,$B32,B38)</f>
        <v>0</v>
      </c>
      <c r="C40" s="204">
        <f ca="1">IF($B32-B40&gt;C38,C38,$B32-B40)</f>
        <v>0</v>
      </c>
      <c r="D40" s="204">
        <f ca="1">IF($B32-(B40+C40)&gt;D38,D38,$B32-(B40+C40))</f>
        <v>0</v>
      </c>
      <c r="E40" s="205">
        <f ca="1">IF(D40&lt;D38,0,$B32-SUM(B40:D40))</f>
        <v>0</v>
      </c>
      <c r="I40" s="218"/>
      <c r="J40" s="514" t="s">
        <v>235</v>
      </c>
      <c r="K40" s="514"/>
      <c r="L40" s="211" t="s">
        <v>230</v>
      </c>
      <c r="M40" s="208"/>
      <c r="N40" s="184"/>
      <c r="O40" s="218"/>
      <c r="P40" s="514" t="s">
        <v>235</v>
      </c>
      <c r="Q40" s="514"/>
      <c r="R40" s="211" t="s">
        <v>230</v>
      </c>
      <c r="S40" s="208"/>
      <c r="T40" s="184"/>
      <c r="U40" s="218"/>
      <c r="V40" s="514" t="s">
        <v>235</v>
      </c>
      <c r="W40" s="514"/>
      <c r="X40" s="211" t="s">
        <v>230</v>
      </c>
      <c r="Y40" s="208"/>
    </row>
    <row r="41" spans="1:26" ht="15.75" thickBot="1" x14ac:dyDescent="0.3">
      <c r="A41" s="199" t="s">
        <v>77</v>
      </c>
      <c r="B41" s="194">
        <f ca="1">B37*B40</f>
        <v>0</v>
      </c>
      <c r="C41" s="194">
        <f ca="1">C37*C40</f>
        <v>0</v>
      </c>
      <c r="D41" s="194">
        <f ca="1">D37*D40</f>
        <v>0</v>
      </c>
      <c r="E41" s="195">
        <f ca="1">E37*E40</f>
        <v>0</v>
      </c>
      <c r="I41" s="217">
        <f ca="1">IF(OR(Privé!D$23=Dropdowns!$B$2,Privé!D$23=Dropdowns!$B$4),0,M42)</f>
        <v>0</v>
      </c>
      <c r="J41" s="227" t="s">
        <v>231</v>
      </c>
      <c r="K41" s="227" t="s">
        <v>232</v>
      </c>
      <c r="L41" s="227"/>
      <c r="M41" s="208"/>
      <c r="N41" s="184"/>
      <c r="O41" s="217">
        <f>IF(OR(Privé!H$23=Dropdowns!$B$2,Privé!H$23=Dropdowns!$B$4),0,S42)</f>
        <v>0</v>
      </c>
      <c r="P41" s="227" t="s">
        <v>231</v>
      </c>
      <c r="Q41" s="227" t="s">
        <v>232</v>
      </c>
      <c r="R41" s="227"/>
      <c r="S41" s="208"/>
      <c r="T41" s="184"/>
      <c r="U41" s="217">
        <f>IF(OR(Privé!L$23=Dropdowns!$B$2,Privé!L$23=Dropdowns!$B$4),0,Y42)</f>
        <v>0</v>
      </c>
      <c r="V41" s="227" t="s">
        <v>231</v>
      </c>
      <c r="W41" s="227" t="s">
        <v>232</v>
      </c>
      <c r="X41" s="227"/>
      <c r="Y41" s="208"/>
    </row>
    <row r="42" spans="1:26" ht="15.75" thickTop="1" x14ac:dyDescent="0.25">
      <c r="A42" s="196" t="str">
        <f>$C$11</f>
        <v>Ondernemer:</v>
      </c>
      <c r="B42" s="197"/>
      <c r="C42" s="198"/>
      <c r="D42" s="198"/>
      <c r="E42" s="202"/>
      <c r="I42" s="219"/>
      <c r="J42" s="213">
        <v>0</v>
      </c>
      <c r="K42" s="213">
        <v>9632</v>
      </c>
      <c r="L42" s="215">
        <v>9.4399999999999998E-2</v>
      </c>
      <c r="M42" s="210">
        <f ca="1">IF(J2&lt;=0,0,IF(J2*L42&gt;K42,K42,J2*L42))</f>
        <v>0</v>
      </c>
      <c r="N42" s="184"/>
      <c r="O42" s="219"/>
      <c r="P42" s="213">
        <f t="shared" ref="P42:R42" si="18">J42</f>
        <v>0</v>
      </c>
      <c r="Q42" s="213">
        <f t="shared" si="18"/>
        <v>9632</v>
      </c>
      <c r="R42" s="215">
        <f t="shared" si="18"/>
        <v>9.4399999999999998E-2</v>
      </c>
      <c r="S42" s="210">
        <f>IF(P2&lt;=0,0,IF(P2*R42&gt;Q42,Q42,P2*R42))</f>
        <v>0</v>
      </c>
      <c r="T42" s="184"/>
      <c r="U42" s="219"/>
      <c r="V42" s="213">
        <f t="shared" ref="V42:X42" si="19">P42</f>
        <v>0</v>
      </c>
      <c r="W42" s="213">
        <f t="shared" si="19"/>
        <v>9632</v>
      </c>
      <c r="X42" s="215">
        <f t="shared" si="19"/>
        <v>9.4399999999999998E-2</v>
      </c>
      <c r="Y42" s="210">
        <f>IF(V2&lt;=0,0,IF(V2*X42&gt;W42,W42,V2*X42))</f>
        <v>0</v>
      </c>
    </row>
    <row r="43" spans="1:26" ht="15" x14ac:dyDescent="0.25">
      <c r="A43" s="177" t="s">
        <v>67</v>
      </c>
      <c r="B43" s="204">
        <f>IF(C32&lt;B38,C32,B38)</f>
        <v>0</v>
      </c>
      <c r="C43" s="204">
        <f>IF($C32-B43&gt;C38,C38,$C32-B43)</f>
        <v>0</v>
      </c>
      <c r="D43" s="204">
        <f>IF($C32-(B43+C43)&gt;D38,D38,$C32-(B43+C43))</f>
        <v>0</v>
      </c>
      <c r="E43" s="205">
        <f>IF(D43&lt;D38,0,$C32-SUM(B43:D43))</f>
        <v>0</v>
      </c>
      <c r="M43" s="124"/>
      <c r="S43" s="124"/>
      <c r="Y43" s="124"/>
    </row>
    <row r="44" spans="1:26" ht="15.75" thickBot="1" x14ac:dyDescent="0.3">
      <c r="A44" s="199" t="s">
        <v>77</v>
      </c>
      <c r="B44" s="194">
        <f>B37*B43</f>
        <v>0</v>
      </c>
      <c r="C44" s="194">
        <f>C37*C43</f>
        <v>0</v>
      </c>
      <c r="D44" s="194">
        <f>D37*D43</f>
        <v>0</v>
      </c>
      <c r="E44" s="195">
        <f>E37*E43</f>
        <v>0</v>
      </c>
      <c r="I44" s="217">
        <f ca="1">IF(Privé!D$26=Dropdowns!$B$3,SUM(L47:L49),0)</f>
        <v>0</v>
      </c>
      <c r="J44" s="515" t="s">
        <v>504</v>
      </c>
      <c r="K44" s="515"/>
      <c r="L44" s="515"/>
      <c r="M44" s="208"/>
      <c r="O44" s="217">
        <f>IF(Privé!H$26=Dropdowns!$B$3,SUM(R47:R49),0)</f>
        <v>0</v>
      </c>
      <c r="P44" s="515" t="str">
        <f>J44</f>
        <v>Heffingskorting (2022)</v>
      </c>
      <c r="Q44" s="515"/>
      <c r="R44" s="515"/>
      <c r="S44" s="208"/>
      <c r="U44" s="217">
        <f ca="1">IF(Privé!L$26=Dropdowns!$B$3,SUM(X47:X49),0)</f>
        <v>0</v>
      </c>
      <c r="V44" s="515" t="str">
        <f>J44</f>
        <v>Heffingskorting (2022)</v>
      </c>
      <c r="W44" s="515"/>
      <c r="X44" s="515"/>
      <c r="Y44" s="208"/>
    </row>
    <row r="45" spans="1:26" ht="15.75" thickTop="1" x14ac:dyDescent="0.25">
      <c r="A45" s="196" t="str">
        <f>$D$11</f>
        <v>Ondernemer:</v>
      </c>
      <c r="B45" s="197"/>
      <c r="C45" s="198"/>
      <c r="D45" s="198"/>
      <c r="E45" s="202"/>
      <c r="I45" s="218"/>
      <c r="J45" s="514" t="s">
        <v>67</v>
      </c>
      <c r="K45" s="514"/>
      <c r="L45" s="211" t="s">
        <v>423</v>
      </c>
      <c r="M45" s="208"/>
      <c r="O45" s="218"/>
      <c r="P45" s="514" t="s">
        <v>67</v>
      </c>
      <c r="Q45" s="514"/>
      <c r="R45" s="211" t="s">
        <v>423</v>
      </c>
      <c r="S45" s="208"/>
      <c r="U45" s="218"/>
      <c r="V45" s="514" t="s">
        <v>67</v>
      </c>
      <c r="W45" s="514"/>
      <c r="X45" s="211" t="s">
        <v>423</v>
      </c>
      <c r="Y45" s="208"/>
    </row>
    <row r="46" spans="1:26" ht="15" x14ac:dyDescent="0.25">
      <c r="A46" s="177" t="s">
        <v>67</v>
      </c>
      <c r="B46" s="204">
        <f>IF($D32&lt;B38,$D32,B38)</f>
        <v>0</v>
      </c>
      <c r="C46" s="204">
        <f>IF($D32-B46&gt;C38,C38,$D32-B46)</f>
        <v>0</v>
      </c>
      <c r="D46" s="204">
        <f>IF($D32-(B46+C46)&gt;D38,D38,$D32-(B46+C46))</f>
        <v>0</v>
      </c>
      <c r="E46" s="205">
        <f>IF(D46&lt;D38,0,$D32-SUM(B46:D46))</f>
        <v>0</v>
      </c>
      <c r="I46" s="218"/>
      <c r="J46" s="227" t="s">
        <v>231</v>
      </c>
      <c r="K46" s="227" t="s">
        <v>232</v>
      </c>
      <c r="L46" s="227"/>
      <c r="M46" s="208"/>
      <c r="O46" s="218"/>
      <c r="P46" s="227" t="s">
        <v>231</v>
      </c>
      <c r="Q46" s="227" t="s">
        <v>232</v>
      </c>
      <c r="R46" s="227"/>
      <c r="S46" s="208"/>
      <c r="U46" s="218"/>
      <c r="V46" s="227" t="s">
        <v>231</v>
      </c>
      <c r="W46" s="227" t="s">
        <v>232</v>
      </c>
      <c r="X46" s="227"/>
      <c r="Y46" s="208"/>
    </row>
    <row r="47" spans="1:26" ht="15.75" thickBot="1" x14ac:dyDescent="0.3">
      <c r="A47" s="199" t="s">
        <v>77</v>
      </c>
      <c r="B47" s="194">
        <f>B37*B46</f>
        <v>0</v>
      </c>
      <c r="C47" s="194">
        <f>C37*C46</f>
        <v>0</v>
      </c>
      <c r="D47" s="194">
        <f>D37*D46</f>
        <v>0</v>
      </c>
      <c r="E47" s="195">
        <f>E37*E46</f>
        <v>0</v>
      </c>
      <c r="I47" s="218"/>
      <c r="J47" s="216">
        <v>0</v>
      </c>
      <c r="K47" s="216">
        <v>21317</v>
      </c>
      <c r="L47" s="213">
        <f ca="1">IF(AND($B$12&gt;J47,$B$12&lt;K47),M47,0)</f>
        <v>0</v>
      </c>
      <c r="M47" s="212">
        <v>2254</v>
      </c>
      <c r="O47" s="218"/>
      <c r="P47" s="216">
        <f t="shared" ref="P47:P49" si="20">J47</f>
        <v>0</v>
      </c>
      <c r="Q47" s="216">
        <f t="shared" ref="Q47:Q48" si="21">K47</f>
        <v>21317</v>
      </c>
      <c r="R47" s="213">
        <f>IF(AND($C$12&gt;P47,$C$12&lt;Q47),S47,0)</f>
        <v>0</v>
      </c>
      <c r="S47" s="212">
        <f t="shared" ref="S47:S49" si="22">M47</f>
        <v>2254</v>
      </c>
      <c r="T47" s="179">
        <f t="shared" ref="T47:T49" si="23">N47</f>
        <v>0</v>
      </c>
      <c r="U47" s="218"/>
      <c r="V47" s="216">
        <f t="shared" ref="V47:V49" si="24">P47</f>
        <v>0</v>
      </c>
      <c r="W47" s="216">
        <f t="shared" ref="W47:W48" si="25">Q47</f>
        <v>21317</v>
      </c>
      <c r="X47" s="213">
        <f>IF(AND($D$12&gt;V47,$D$12&lt;W47),Y47,0)</f>
        <v>0</v>
      </c>
      <c r="Y47" s="212">
        <v>2203</v>
      </c>
    </row>
    <row r="48" spans="1:26" ht="15.75" thickTop="1" x14ac:dyDescent="0.25">
      <c r="A48" s="3"/>
      <c r="B48" s="3"/>
      <c r="C48" s="182"/>
      <c r="D48" s="183"/>
      <c r="E48" s="3"/>
      <c r="I48" s="218"/>
      <c r="J48" s="213">
        <f>K47</f>
        <v>21317</v>
      </c>
      <c r="K48" s="213">
        <v>69398</v>
      </c>
      <c r="L48" s="213">
        <f ca="1">IF(AND($B$12&gt;=J48,$B$12&lt;K48),M48-N48*($B$12-J48),0)</f>
        <v>0</v>
      </c>
      <c r="M48" s="212">
        <v>2254</v>
      </c>
      <c r="N48" s="179">
        <v>4.7870000000000003E-2</v>
      </c>
      <c r="O48" s="218"/>
      <c r="P48" s="213">
        <f t="shared" si="20"/>
        <v>21317</v>
      </c>
      <c r="Q48" s="213">
        <f t="shared" si="21"/>
        <v>69398</v>
      </c>
      <c r="R48" s="213">
        <f>IF(AND($C$12&gt;=P48,$C$12&lt;Q48),S48-T48*($C$12-P48),0)</f>
        <v>0</v>
      </c>
      <c r="S48" s="212">
        <f t="shared" si="22"/>
        <v>2254</v>
      </c>
      <c r="T48" s="179">
        <f t="shared" si="23"/>
        <v>4.7870000000000003E-2</v>
      </c>
      <c r="U48" s="218"/>
      <c r="V48" s="213">
        <f t="shared" si="24"/>
        <v>21317</v>
      </c>
      <c r="W48" s="213">
        <f t="shared" si="25"/>
        <v>69398</v>
      </c>
      <c r="X48" s="213">
        <f>IF(AND($D$12&gt;=V48,$D$12&lt;W48),Y48-Z48*($D$12-V48),0)</f>
        <v>0</v>
      </c>
      <c r="Y48" s="212">
        <v>2203</v>
      </c>
      <c r="Z48" s="179">
        <v>2.3199999999999998E-2</v>
      </c>
    </row>
    <row r="49" spans="1:26" ht="15.75" thickBot="1" x14ac:dyDescent="0.3">
      <c r="A49" s="3"/>
      <c r="B49" s="3"/>
      <c r="C49" s="182"/>
      <c r="D49" s="183"/>
      <c r="E49" s="3"/>
      <c r="I49" s="218"/>
      <c r="J49" s="213">
        <f>K48</f>
        <v>69398</v>
      </c>
      <c r="K49" s="213"/>
      <c r="L49" s="213">
        <f ca="1">IF($B$12&gt;=J49,M49,0)</f>
        <v>0</v>
      </c>
      <c r="M49" s="212">
        <v>0</v>
      </c>
      <c r="O49" s="218"/>
      <c r="P49" s="213">
        <f t="shared" si="20"/>
        <v>69398</v>
      </c>
      <c r="Q49" s="213"/>
      <c r="R49" s="213">
        <f>IF($C$12&gt;=P49,S49,0)</f>
        <v>0</v>
      </c>
      <c r="S49" s="212">
        <f t="shared" si="22"/>
        <v>0</v>
      </c>
      <c r="T49" s="179">
        <f t="shared" si="23"/>
        <v>0</v>
      </c>
      <c r="U49" s="218"/>
      <c r="V49" s="213">
        <f t="shared" si="24"/>
        <v>69398</v>
      </c>
      <c r="W49" s="213"/>
      <c r="X49" s="213">
        <f ca="1">IF($B$12&gt;=V49,Y49,0)</f>
        <v>0</v>
      </c>
      <c r="Y49" s="212">
        <v>1342</v>
      </c>
    </row>
    <row r="50" spans="1:26" ht="16.5" thickTop="1" thickBot="1" x14ac:dyDescent="0.3">
      <c r="A50" s="407">
        <f>Exploitatie!$H$8</f>
        <v>2025</v>
      </c>
      <c r="B50" s="185"/>
    </row>
    <row r="51" spans="1:26" ht="15.75" thickTop="1" x14ac:dyDescent="0.25">
      <c r="A51" s="186" t="s">
        <v>412</v>
      </c>
      <c r="B51" s="187" t="str">
        <f>B31</f>
        <v>Ondernemer:</v>
      </c>
      <c r="C51" s="187" t="str">
        <f>C31</f>
        <v>Ondernemer:</v>
      </c>
      <c r="D51" s="188" t="str">
        <f>D31</f>
        <v>Ondernemer:</v>
      </c>
      <c r="E51" s="3"/>
      <c r="I51" s="217">
        <f ca="1">IF(Privé!D$26=Dropdowns!$B$3,SUM(L54:L58),0)</f>
        <v>0</v>
      </c>
      <c r="J51" s="515" t="s">
        <v>503</v>
      </c>
      <c r="K51" s="515"/>
      <c r="L51" s="515"/>
      <c r="M51" s="208"/>
      <c r="O51" s="217">
        <f>IF(Privé!H$26=Dropdowns!$B$3,SUM(R54:R58),0)</f>
        <v>0</v>
      </c>
      <c r="P51" s="515" t="str">
        <f>J51</f>
        <v>Arbeidskorting (2022)</v>
      </c>
      <c r="Q51" s="515"/>
      <c r="R51" s="515"/>
      <c r="S51" s="208"/>
      <c r="U51" s="217">
        <f>IF(Privé!L$26=Dropdowns!$B$3,SUM(X54:X58),0)</f>
        <v>0</v>
      </c>
      <c r="V51" s="515" t="str">
        <f>J51</f>
        <v>Arbeidskorting (2022)</v>
      </c>
      <c r="W51" s="515"/>
      <c r="X51" s="515"/>
      <c r="Y51" s="208"/>
    </row>
    <row r="52" spans="1:26" ht="15" x14ac:dyDescent="0.25">
      <c r="A52" s="189" t="s">
        <v>67</v>
      </c>
      <c r="B52" s="190">
        <f ca="1">IF(J123-J125&lt;0,0,(J123-J125))</f>
        <v>0</v>
      </c>
      <c r="C52" s="190">
        <f>IF(P123-P125&lt;0,0,(P123-P125))</f>
        <v>0</v>
      </c>
      <c r="D52" s="190">
        <f>IF(V123-V125&lt;0,0,(V123-V125))</f>
        <v>0</v>
      </c>
      <c r="E52" s="3"/>
      <c r="I52" s="218"/>
      <c r="J52" s="514" t="s">
        <v>67</v>
      </c>
      <c r="K52" s="514"/>
      <c r="L52" s="211" t="s">
        <v>423</v>
      </c>
      <c r="M52" s="208"/>
      <c r="O52" s="218"/>
      <c r="P52" s="514" t="s">
        <v>67</v>
      </c>
      <c r="Q52" s="514"/>
      <c r="R52" s="211" t="s">
        <v>423</v>
      </c>
      <c r="S52" s="208"/>
      <c r="U52" s="218"/>
      <c r="V52" s="514" t="s">
        <v>67</v>
      </c>
      <c r="W52" s="514"/>
      <c r="X52" s="211" t="s">
        <v>423</v>
      </c>
      <c r="Y52" s="208"/>
    </row>
    <row r="53" spans="1:26" ht="15" x14ac:dyDescent="0.25">
      <c r="A53" s="228" t="s">
        <v>68</v>
      </c>
      <c r="B53" s="229">
        <f ca="1">SUM(B61:E61)</f>
        <v>0</v>
      </c>
      <c r="C53" s="229">
        <f>SUM(B64:E64)</f>
        <v>0</v>
      </c>
      <c r="D53" s="230">
        <f>SUM(B67:E67)</f>
        <v>0</v>
      </c>
      <c r="E53" s="3"/>
      <c r="I53" s="218"/>
      <c r="J53" s="227" t="s">
        <v>231</v>
      </c>
      <c r="K53" s="227" t="s">
        <v>232</v>
      </c>
      <c r="L53" s="227"/>
      <c r="M53" s="208"/>
      <c r="O53" s="218"/>
      <c r="P53" s="227" t="s">
        <v>231</v>
      </c>
      <c r="Q53" s="227" t="s">
        <v>232</v>
      </c>
      <c r="R53" s="227"/>
      <c r="S53" s="208"/>
      <c r="U53" s="218"/>
      <c r="V53" s="227" t="s">
        <v>231</v>
      </c>
      <c r="W53" s="227" t="s">
        <v>232</v>
      </c>
      <c r="X53" s="227"/>
      <c r="Y53" s="208"/>
    </row>
    <row r="54" spans="1:26" ht="15" x14ac:dyDescent="0.25">
      <c r="A54" s="234" t="s">
        <v>424</v>
      </c>
      <c r="B54" s="201">
        <f ca="1">IF(I165+I172&lt;0,0,I165+I172)</f>
        <v>0</v>
      </c>
      <c r="C54" s="201">
        <f>IF(O165+O172&lt;0,0,O165+O172)</f>
        <v>0</v>
      </c>
      <c r="D54" s="201">
        <f>IF(U165+U172&lt;0,0,U165+U172)</f>
        <v>0</v>
      </c>
      <c r="E54" s="3"/>
      <c r="I54" s="218"/>
      <c r="J54" s="216">
        <v>0</v>
      </c>
      <c r="K54" s="216">
        <v>10351</v>
      </c>
      <c r="L54" s="213">
        <f ca="1">IF(AND(J2&gt;J54,J2&lt;K54),N54*J2,0)</f>
        <v>0</v>
      </c>
      <c r="M54" s="212"/>
      <c r="N54" s="179">
        <v>1.772E-2</v>
      </c>
      <c r="O54" s="218"/>
      <c r="P54" s="216">
        <f t="shared" ref="P54:P58" si="26">J54</f>
        <v>0</v>
      </c>
      <c r="Q54" s="216">
        <f t="shared" ref="Q54:Q57" si="27">K54</f>
        <v>10351</v>
      </c>
      <c r="R54" s="213">
        <f>IF(AND(P2&gt;P54,P2&lt;Q54),T54*P2,0)</f>
        <v>0</v>
      </c>
      <c r="S54" s="212">
        <f>M54</f>
        <v>0</v>
      </c>
      <c r="T54" s="179">
        <f t="shared" ref="T54:T58" si="28">N54</f>
        <v>1.772E-2</v>
      </c>
      <c r="U54" s="218"/>
      <c r="V54" s="216">
        <f t="shared" ref="V54:V58" si="29">P54</f>
        <v>0</v>
      </c>
      <c r="W54" s="216">
        <f t="shared" ref="W54:W57" si="30">Q54</f>
        <v>10351</v>
      </c>
      <c r="X54" s="213">
        <f>IF(AND(V2&gt;V54,V2&lt;W54),Z54*V2,0)</f>
        <v>0</v>
      </c>
      <c r="Y54" s="212">
        <f>S54</f>
        <v>0</v>
      </c>
      <c r="Z54" s="179">
        <f t="shared" ref="Z54:Z58" si="31">T54</f>
        <v>1.772E-2</v>
      </c>
    </row>
    <row r="55" spans="1:26" ht="15.75" thickBot="1" x14ac:dyDescent="0.3">
      <c r="A55" s="231" t="s">
        <v>425</v>
      </c>
      <c r="B55" s="232">
        <f ca="1">IF(B53-B54&lt;0,0,B53-B54)</f>
        <v>0</v>
      </c>
      <c r="C55" s="232">
        <f>IF(C53-C54&lt;0,0,C53-C54)</f>
        <v>0</v>
      </c>
      <c r="D55" s="233">
        <f>IF(D53-D54&lt;0,0,D53-D54)</f>
        <v>0</v>
      </c>
      <c r="E55" s="3"/>
      <c r="I55" s="218"/>
      <c r="J55" s="213">
        <f>K54</f>
        <v>10351</v>
      </c>
      <c r="K55" s="213">
        <v>22357</v>
      </c>
      <c r="L55" s="213">
        <f ca="1">IF(AND(J2&gt;=J55,J2&lt;K55),M55+N55*(J2-J55),0)</f>
        <v>0</v>
      </c>
      <c r="M55" s="212">
        <v>165</v>
      </c>
      <c r="N55" s="179">
        <v>0.28316999999999998</v>
      </c>
      <c r="O55" s="218"/>
      <c r="P55" s="213">
        <f t="shared" si="26"/>
        <v>10351</v>
      </c>
      <c r="Q55" s="213">
        <f t="shared" si="27"/>
        <v>22357</v>
      </c>
      <c r="R55" s="213">
        <f>IF(AND(P2&gt;=P55,P2&lt;Q55),S55+T55*(P2-P55),0)</f>
        <v>0</v>
      </c>
      <c r="S55" s="212">
        <f t="shared" ref="S55:S58" si="32">M55</f>
        <v>165</v>
      </c>
      <c r="T55" s="179">
        <f t="shared" si="28"/>
        <v>0.28316999999999998</v>
      </c>
      <c r="U55" s="218"/>
      <c r="V55" s="213">
        <f t="shared" si="29"/>
        <v>10351</v>
      </c>
      <c r="W55" s="213">
        <f t="shared" si="30"/>
        <v>22357</v>
      </c>
      <c r="X55" s="213">
        <f>IF(AND(V2&gt;=V55,V2&lt;W55),Y55+Z55*(V2-V55),0)</f>
        <v>0</v>
      </c>
      <c r="Y55" s="212">
        <f t="shared" ref="Y55:Y58" si="33">S55</f>
        <v>165</v>
      </c>
      <c r="Z55" s="179">
        <f t="shared" si="31"/>
        <v>0.28316999999999998</v>
      </c>
    </row>
    <row r="56" spans="1:26" ht="15.75" thickTop="1" x14ac:dyDescent="0.25">
      <c r="A56" s="3"/>
      <c r="B56" s="235" t="e">
        <f ca="1">B55/J123</f>
        <v>#DIV/0!</v>
      </c>
      <c r="C56" s="235" t="e">
        <f>C55/P123</f>
        <v>#DIV/0!</v>
      </c>
      <c r="D56" s="235" t="e">
        <f>D55/V123</f>
        <v>#DIV/0!</v>
      </c>
      <c r="E56" s="3"/>
      <c r="I56" s="218"/>
      <c r="J56" s="213">
        <f>K55</f>
        <v>22357</v>
      </c>
      <c r="K56" s="213">
        <v>36650</v>
      </c>
      <c r="L56" s="213">
        <f ca="1">IF(AND(J2&gt;=J56,J2&lt;K56),M56,0)</f>
        <v>0</v>
      </c>
      <c r="M56" s="212">
        <v>3223</v>
      </c>
      <c r="O56" s="218"/>
      <c r="P56" s="213">
        <f t="shared" si="26"/>
        <v>22357</v>
      </c>
      <c r="Q56" s="213">
        <f t="shared" si="27"/>
        <v>36650</v>
      </c>
      <c r="R56" s="213">
        <f>IF(AND(P2&gt;=P56,P2&lt;Q56),S56,0)</f>
        <v>0</v>
      </c>
      <c r="S56" s="212">
        <f t="shared" si="32"/>
        <v>3223</v>
      </c>
      <c r="T56" s="179">
        <f t="shared" si="28"/>
        <v>0</v>
      </c>
      <c r="U56" s="218"/>
      <c r="V56" s="213">
        <f t="shared" si="29"/>
        <v>22357</v>
      </c>
      <c r="W56" s="213">
        <f t="shared" si="30"/>
        <v>36650</v>
      </c>
      <c r="X56" s="213">
        <f>IF(AND(V2&gt;=V56,V2&lt;W56),Y56,0)</f>
        <v>0</v>
      </c>
      <c r="Y56" s="212">
        <f t="shared" si="33"/>
        <v>3223</v>
      </c>
      <c r="Z56" s="179">
        <f t="shared" si="31"/>
        <v>0</v>
      </c>
    </row>
    <row r="57" spans="1:26" ht="15" x14ac:dyDescent="0.25">
      <c r="A57" s="191" t="s">
        <v>79</v>
      </c>
      <c r="B57" s="223">
        <f>B$6</f>
        <v>0.36549999999999999</v>
      </c>
      <c r="C57" s="200">
        <f>C$6</f>
        <v>0.40400000000000003</v>
      </c>
      <c r="D57" s="223">
        <f>D$6</f>
        <v>0.40400000000000003</v>
      </c>
      <c r="E57" s="224">
        <f>E$6</f>
        <v>0.52</v>
      </c>
      <c r="J57" s="213">
        <f>K56</f>
        <v>36650</v>
      </c>
      <c r="K57" s="213">
        <v>109347</v>
      </c>
      <c r="L57" s="213">
        <f ca="1">IF(AND(J2&gt;=J57,J2&lt;K57),M57-N57*(J2-J57),0)</f>
        <v>0</v>
      </c>
      <c r="M57" s="212">
        <v>3223</v>
      </c>
      <c r="N57" s="179">
        <v>3.5999999999999997E-2</v>
      </c>
      <c r="P57" s="213">
        <f t="shared" si="26"/>
        <v>36650</v>
      </c>
      <c r="Q57" s="213">
        <f t="shared" si="27"/>
        <v>109347</v>
      </c>
      <c r="R57" s="213">
        <f>IF(AND(P2&gt;=P57,P2&lt;Q57),S57-T57*(P2-P57),0)</f>
        <v>0</v>
      </c>
      <c r="S57" s="212">
        <f t="shared" si="32"/>
        <v>3223</v>
      </c>
      <c r="T57" s="179">
        <f t="shared" si="28"/>
        <v>3.5999999999999997E-2</v>
      </c>
      <c r="V57" s="213">
        <f t="shared" si="29"/>
        <v>36650</v>
      </c>
      <c r="W57" s="213">
        <f t="shared" si="30"/>
        <v>109347</v>
      </c>
      <c r="X57" s="213">
        <f>IF(AND(V2&gt;=V57,V2&lt;W57),Y57-Z57*(V2-V57),0)</f>
        <v>0</v>
      </c>
      <c r="Y57" s="212">
        <f t="shared" si="33"/>
        <v>3223</v>
      </c>
      <c r="Z57" s="179">
        <f t="shared" si="31"/>
        <v>3.5999999999999997E-2</v>
      </c>
    </row>
    <row r="58" spans="1:26" ht="15.75" thickBot="1" x14ac:dyDescent="0.3">
      <c r="A58" s="191" t="s">
        <v>78</v>
      </c>
      <c r="B58" s="201">
        <f>B$7</f>
        <v>19981</v>
      </c>
      <c r="C58" s="201">
        <f>C$7</f>
        <v>33715</v>
      </c>
      <c r="D58" s="201">
        <f>D$7</f>
        <v>66421</v>
      </c>
      <c r="E58" s="203"/>
      <c r="J58" s="213">
        <f>K57</f>
        <v>109347</v>
      </c>
      <c r="K58" s="213"/>
      <c r="L58" s="213">
        <f ca="1">IF(J2&gt;=J58,M58,0)</f>
        <v>0</v>
      </c>
      <c r="M58" s="212">
        <v>0</v>
      </c>
      <c r="P58" s="213">
        <f t="shared" si="26"/>
        <v>109347</v>
      </c>
      <c r="Q58" s="213"/>
      <c r="R58" s="213">
        <f>IF(P2&gt;=P58,S58,0)</f>
        <v>0</v>
      </c>
      <c r="S58" s="212">
        <f t="shared" si="32"/>
        <v>0</v>
      </c>
      <c r="T58" s="179">
        <f t="shared" si="28"/>
        <v>0</v>
      </c>
      <c r="V58" s="213">
        <f t="shared" si="29"/>
        <v>109347</v>
      </c>
      <c r="W58" s="213"/>
      <c r="X58" s="213">
        <f>IF(V2&gt;=V58,Y58,0)</f>
        <v>0</v>
      </c>
      <c r="Y58" s="212">
        <f t="shared" si="33"/>
        <v>0</v>
      </c>
      <c r="Z58" s="179">
        <f t="shared" si="31"/>
        <v>0</v>
      </c>
    </row>
    <row r="59" spans="1:26" ht="15.75" thickTop="1" x14ac:dyDescent="0.25">
      <c r="A59" s="196" t="str">
        <f>$B$11</f>
        <v>Ondernemer:</v>
      </c>
      <c r="B59" s="197"/>
      <c r="C59" s="198"/>
      <c r="D59" s="198"/>
      <c r="E59" s="202"/>
    </row>
    <row r="60" spans="1:26" ht="15" x14ac:dyDescent="0.25">
      <c r="A60" s="177" t="s">
        <v>67</v>
      </c>
      <c r="B60" s="204">
        <f ca="1">IF($B52&lt;B58,$B52,B58)</f>
        <v>0</v>
      </c>
      <c r="C60" s="204">
        <f ca="1">IF($B52-B60&gt;C58,C58,$B52-B60)</f>
        <v>0</v>
      </c>
      <c r="D60" s="204">
        <f ca="1">IF($B52-(B60+C60)&gt;D58,D58,$B52-(B60+C60))</f>
        <v>0</v>
      </c>
      <c r="E60" s="205">
        <f ca="1">IF(D60&lt;D58,0,$B52-SUM(B60:D60))</f>
        <v>0</v>
      </c>
    </row>
    <row r="61" spans="1:26" ht="15.75" thickBot="1" x14ac:dyDescent="0.3">
      <c r="A61" s="199" t="s">
        <v>77</v>
      </c>
      <c r="B61" s="194">
        <f ca="1">B57*B60</f>
        <v>0</v>
      </c>
      <c r="C61" s="194">
        <f ca="1">C57*C60</f>
        <v>0</v>
      </c>
      <c r="D61" s="194">
        <f ca="1">D57*D60</f>
        <v>0</v>
      </c>
      <c r="E61" s="195">
        <f ca="1">E57*E60</f>
        <v>0</v>
      </c>
    </row>
    <row r="62" spans="1:26" ht="15.75" thickTop="1" x14ac:dyDescent="0.25">
      <c r="A62" s="196" t="str">
        <f>$C$11</f>
        <v>Ondernemer:</v>
      </c>
      <c r="B62" s="197"/>
      <c r="C62" s="198"/>
      <c r="D62" s="198"/>
      <c r="E62" s="202"/>
      <c r="G62" s="219">
        <f>A30</f>
        <v>2024</v>
      </c>
      <c r="K62" s="184"/>
      <c r="L62" s="184"/>
      <c r="M62" s="184"/>
      <c r="N62" s="184"/>
      <c r="Q62" s="184"/>
      <c r="R62" s="184"/>
      <c r="S62" s="184"/>
      <c r="T62" s="184"/>
      <c r="W62" s="184"/>
      <c r="X62" s="184"/>
      <c r="Y62" s="184"/>
    </row>
    <row r="63" spans="1:26" ht="15" x14ac:dyDescent="0.25">
      <c r="A63" s="177" t="s">
        <v>67</v>
      </c>
      <c r="B63" s="204">
        <f>IF(C52&lt;B58,C52,B58)</f>
        <v>0</v>
      </c>
      <c r="C63" s="204">
        <f>IF($C52-B63&gt;C58,C58,$C52-B63)</f>
        <v>0</v>
      </c>
      <c r="D63" s="204">
        <f>IF($C52-(B63+C63)&gt;D58,D58,$C52-(B63+C63))</f>
        <v>0</v>
      </c>
      <c r="E63" s="205">
        <f>IF(D63&lt;D58,0,$C52-SUM(B63:D63))</f>
        <v>0</v>
      </c>
      <c r="G63" s="220">
        <f ca="1">Exploitatie!G25</f>
        <v>0</v>
      </c>
      <c r="I63" s="207" t="s">
        <v>456</v>
      </c>
      <c r="J63" s="220">
        <f ca="1">IF(Privé!$D$7="B.V.",0,IF($J$1="Ondernemer:",G63,G63*Privé!D$15))</f>
        <v>0</v>
      </c>
      <c r="K63" s="208"/>
      <c r="L63" s="208"/>
      <c r="M63" s="208"/>
      <c r="N63" s="184"/>
      <c r="O63" s="207" t="s">
        <v>456</v>
      </c>
      <c r="P63" s="220">
        <f>IF(Privé!$D$7="B.V.",0,IF($P$1="2e ondernemer:",G63*Privé!H$15,0))</f>
        <v>0</v>
      </c>
      <c r="Q63" s="208"/>
      <c r="R63" s="208"/>
      <c r="S63" s="208"/>
      <c r="T63" s="184"/>
      <c r="U63" s="207" t="s">
        <v>456</v>
      </c>
      <c r="V63" s="220">
        <f>IF(Privé!$D$7="B.V.",0,IF($V$1="3e ondernemer:",G63*Privé!L$15,0))</f>
        <v>0</v>
      </c>
      <c r="W63" s="208"/>
      <c r="X63" s="208"/>
      <c r="Y63" s="208"/>
    </row>
    <row r="64" spans="1:26" ht="15.75" thickBot="1" x14ac:dyDescent="0.3">
      <c r="A64" s="199" t="s">
        <v>77</v>
      </c>
      <c r="B64" s="194">
        <f>B57*B63</f>
        <v>0</v>
      </c>
      <c r="C64" s="194">
        <f>C57*C63</f>
        <v>0</v>
      </c>
      <c r="D64" s="194">
        <f>D57*D63</f>
        <v>0</v>
      </c>
      <c r="E64" s="195">
        <f>E57*E63</f>
        <v>0</v>
      </c>
      <c r="G64" s="220">
        <f>Exploitatie!G47</f>
        <v>30000</v>
      </c>
      <c r="I64" s="207" t="s">
        <v>457</v>
      </c>
      <c r="J64" s="220">
        <f>IF(Privé!$D$7="B.V.",0,IF($J$1="Ondernemer:",G64,G64*Privé!D$15))</f>
        <v>30000</v>
      </c>
      <c r="L64" s="208"/>
      <c r="M64" s="208"/>
      <c r="N64" s="184"/>
      <c r="O64" s="207" t="s">
        <v>457</v>
      </c>
      <c r="P64" s="220">
        <f>IF(Privé!$D$7="B.V.",0,IF($P$1="2e ondernemer:",G64*Privé!H$15,0))</f>
        <v>0</v>
      </c>
      <c r="R64" s="208"/>
      <c r="S64" s="208"/>
      <c r="T64" s="184"/>
      <c r="U64" s="207" t="s">
        <v>457</v>
      </c>
      <c r="V64" s="220">
        <f>IF(Privé!$D$7="B.V.",0,IF($V$1="3e ondernemer:",G64*Privé!L$15,0))</f>
        <v>0</v>
      </c>
      <c r="X64" s="208"/>
      <c r="Y64" s="208"/>
    </row>
    <row r="65" spans="1:25" ht="15.75" thickTop="1" x14ac:dyDescent="0.25">
      <c r="A65" s="196" t="str">
        <f>$D$11</f>
        <v>Ondernemer:</v>
      </c>
      <c r="B65" s="197"/>
      <c r="C65" s="198"/>
      <c r="D65" s="198"/>
      <c r="E65" s="202"/>
      <c r="I65" s="207" t="s">
        <v>241</v>
      </c>
      <c r="J65" s="220">
        <f ca="1">IB!I67+IB!I72+IB!I77+IB!I86+IB!I97+IB!I102</f>
        <v>8400</v>
      </c>
      <c r="L65" s="208"/>
      <c r="M65" s="208"/>
      <c r="N65" s="184"/>
      <c r="O65" s="207" t="s">
        <v>241</v>
      </c>
      <c r="P65" s="220">
        <f>IB!O67+IB!O72+IB!O77+IB!O86+IB!O97+IB!O102</f>
        <v>0</v>
      </c>
      <c r="R65" s="208"/>
      <c r="S65" s="208"/>
      <c r="T65" s="184"/>
      <c r="U65" s="207" t="s">
        <v>241</v>
      </c>
      <c r="V65" s="220">
        <f>IB!U67+IB!U72+IB!U77+IB!U86+IB!U97+IB!U102</f>
        <v>0</v>
      </c>
      <c r="X65" s="208"/>
      <c r="Y65" s="208"/>
    </row>
    <row r="66" spans="1:25" ht="15" x14ac:dyDescent="0.25">
      <c r="A66" s="177" t="s">
        <v>67</v>
      </c>
      <c r="B66" s="204">
        <f>IF($D52&lt;B58,$D52,B58)</f>
        <v>0</v>
      </c>
      <c r="C66" s="204">
        <f>IF($D52-B66&gt;C58,C58,$D52-B66)</f>
        <v>0</v>
      </c>
      <c r="D66" s="204">
        <f>IF($D52-(B66+C66)&gt;D58,D58,$D52-(B66+C66))</f>
        <v>0</v>
      </c>
      <c r="E66" s="205">
        <f>IF(D66&lt;D58,0,$D52-SUM(B66:D66))</f>
        <v>0</v>
      </c>
      <c r="I66" s="184"/>
      <c r="J66" s="209"/>
      <c r="K66" s="208"/>
      <c r="L66" s="208"/>
      <c r="M66" s="208"/>
      <c r="N66" s="184"/>
      <c r="O66" s="184"/>
      <c r="P66" s="209"/>
      <c r="Q66" s="208"/>
      <c r="R66" s="208"/>
      <c r="S66" s="208"/>
      <c r="T66" s="184"/>
      <c r="U66" s="184"/>
      <c r="V66" s="209"/>
      <c r="W66" s="208"/>
      <c r="X66" s="208"/>
      <c r="Y66" s="208"/>
    </row>
    <row r="67" spans="1:25" ht="15.75" thickBot="1" x14ac:dyDescent="0.3">
      <c r="A67" s="199" t="s">
        <v>77</v>
      </c>
      <c r="B67" s="194">
        <f>B57*B66</f>
        <v>0</v>
      </c>
      <c r="C67" s="194">
        <f>C57*C66</f>
        <v>0</v>
      </c>
      <c r="D67" s="194">
        <f>D57*D66</f>
        <v>0</v>
      </c>
      <c r="E67" s="195">
        <f>E57*E66</f>
        <v>0</v>
      </c>
      <c r="I67" s="217">
        <f ca="1">IF(J63&lt;=0,0,IF(Privé!D$18=Dropdowns!$B$3,L70,0))</f>
        <v>0</v>
      </c>
      <c r="J67" s="515" t="s">
        <v>471</v>
      </c>
      <c r="K67" s="515"/>
      <c r="L67" s="515"/>
      <c r="M67" s="208"/>
      <c r="N67" s="184"/>
      <c r="O67" s="217">
        <f>IF(P63&lt;=0,0,IF(Privé!H$18=Dropdowns!$B$3,R70,0))</f>
        <v>0</v>
      </c>
      <c r="P67" s="515" t="str">
        <f>J67</f>
        <v>Zelfstandigenaftrek (2017)</v>
      </c>
      <c r="Q67" s="515"/>
      <c r="R67" s="515"/>
      <c r="S67" s="208"/>
      <c r="T67" s="184"/>
      <c r="U67" s="217">
        <f>IF(V63&lt;=0,0,IF(Privé!L$18=Dropdowns!$B$3,X70,0))</f>
        <v>0</v>
      </c>
      <c r="V67" s="515" t="str">
        <f>J67</f>
        <v>Zelfstandigenaftrek (2017)</v>
      </c>
      <c r="W67" s="515"/>
      <c r="X67" s="515"/>
      <c r="Y67" s="208"/>
    </row>
    <row r="68" spans="1:25" ht="13.5" thickTop="1" x14ac:dyDescent="0.2">
      <c r="D68" s="180"/>
      <c r="I68" s="218"/>
      <c r="J68" s="514" t="s">
        <v>227</v>
      </c>
      <c r="K68" s="514"/>
      <c r="L68" s="211" t="s">
        <v>230</v>
      </c>
      <c r="M68" s="208"/>
      <c r="N68" s="184"/>
      <c r="O68" s="218"/>
      <c r="P68" s="514" t="s">
        <v>227</v>
      </c>
      <c r="Q68" s="514"/>
      <c r="R68" s="211" t="s">
        <v>230</v>
      </c>
      <c r="S68" s="208"/>
      <c r="T68" s="184"/>
      <c r="U68" s="218"/>
      <c r="V68" s="514" t="s">
        <v>227</v>
      </c>
      <c r="W68" s="514"/>
      <c r="X68" s="211" t="s">
        <v>230</v>
      </c>
      <c r="Y68" s="208"/>
    </row>
    <row r="69" spans="1:25" x14ac:dyDescent="0.2">
      <c r="D69" s="180"/>
      <c r="I69" s="218"/>
      <c r="J69" s="227" t="s">
        <v>231</v>
      </c>
      <c r="K69" s="227" t="s">
        <v>232</v>
      </c>
      <c r="L69" s="227"/>
      <c r="M69" s="208"/>
      <c r="N69" s="184"/>
      <c r="O69" s="218"/>
      <c r="P69" s="227" t="s">
        <v>231</v>
      </c>
      <c r="Q69" s="227" t="s">
        <v>232</v>
      </c>
      <c r="R69" s="227"/>
      <c r="S69" s="208"/>
      <c r="T69" s="184"/>
      <c r="U69" s="218"/>
      <c r="V69" s="227" t="s">
        <v>231</v>
      </c>
      <c r="W69" s="227" t="s">
        <v>232</v>
      </c>
      <c r="X69" s="227"/>
      <c r="Y69" s="208"/>
    </row>
    <row r="70" spans="1:25" x14ac:dyDescent="0.2">
      <c r="D70" s="180"/>
      <c r="I70" s="218"/>
      <c r="J70" s="213">
        <f>J9</f>
        <v>0</v>
      </c>
      <c r="K70" s="213"/>
      <c r="L70" s="213">
        <v>7280</v>
      </c>
      <c r="M70" s="212"/>
      <c r="N70" s="184"/>
      <c r="O70" s="218"/>
      <c r="P70" s="213">
        <f>P9</f>
        <v>0</v>
      </c>
      <c r="Q70" s="213"/>
      <c r="R70" s="213">
        <f>R9</f>
        <v>6310</v>
      </c>
      <c r="S70" s="212"/>
      <c r="T70" s="184"/>
      <c r="U70" s="218"/>
      <c r="V70" s="213">
        <f>V9</f>
        <v>0</v>
      </c>
      <c r="W70" s="213"/>
      <c r="X70" s="213">
        <f>X9</f>
        <v>6310</v>
      </c>
      <c r="Y70" s="212"/>
    </row>
    <row r="71" spans="1:25" x14ac:dyDescent="0.2">
      <c r="D71" s="180"/>
      <c r="I71" s="218"/>
      <c r="J71" s="208"/>
      <c r="K71" s="208"/>
      <c r="L71" s="208"/>
      <c r="M71" s="208"/>
      <c r="N71" s="184"/>
      <c r="O71" s="218"/>
      <c r="P71" s="208"/>
      <c r="Q71" s="208"/>
      <c r="R71" s="208"/>
      <c r="S71" s="208"/>
      <c r="T71" s="184"/>
      <c r="U71" s="218"/>
      <c r="V71" s="208"/>
      <c r="W71" s="208"/>
      <c r="X71" s="208"/>
      <c r="Y71" s="208"/>
    </row>
    <row r="72" spans="1:25" x14ac:dyDescent="0.2">
      <c r="D72" s="180"/>
      <c r="I72" s="217">
        <f ca="1">IF(J63&lt;=0,0,IF(Privé!D$19=Dropdowns!$B$3,L75,0))</f>
        <v>0</v>
      </c>
      <c r="J72" s="515" t="s">
        <v>478</v>
      </c>
      <c r="K72" s="515"/>
      <c r="L72" s="515"/>
      <c r="M72" s="208"/>
      <c r="N72" s="184"/>
      <c r="O72" s="217">
        <f>IF(P63&lt;=0,0,IF(Privé!H$19=Dropdowns!$B$3,R75,0))</f>
        <v>0</v>
      </c>
      <c r="P72" s="515" t="str">
        <f>J72</f>
        <v>Startersaftrek (2017)</v>
      </c>
      <c r="Q72" s="515"/>
      <c r="R72" s="515"/>
      <c r="S72" s="208"/>
      <c r="T72" s="184"/>
      <c r="U72" s="217">
        <f>IF(V63&lt;=0,0,IF(Privé!L$19=Dropdowns!$B$3,X75,0))</f>
        <v>0</v>
      </c>
      <c r="V72" s="515" t="str">
        <f>J72</f>
        <v>Startersaftrek (2017)</v>
      </c>
      <c r="W72" s="515"/>
      <c r="X72" s="515"/>
      <c r="Y72" s="208"/>
    </row>
    <row r="73" spans="1:25" x14ac:dyDescent="0.2">
      <c r="D73" s="180"/>
      <c r="I73" s="218"/>
      <c r="J73" s="514" t="s">
        <v>227</v>
      </c>
      <c r="K73" s="514"/>
      <c r="L73" s="211" t="s">
        <v>230</v>
      </c>
      <c r="M73" s="208"/>
      <c r="N73" s="184"/>
      <c r="O73" s="218"/>
      <c r="P73" s="514" t="s">
        <v>227</v>
      </c>
      <c r="Q73" s="514"/>
      <c r="R73" s="211" t="s">
        <v>230</v>
      </c>
      <c r="S73" s="208"/>
      <c r="T73" s="184"/>
      <c r="U73" s="218"/>
      <c r="V73" s="514" t="s">
        <v>227</v>
      </c>
      <c r="W73" s="514"/>
      <c r="X73" s="211" t="s">
        <v>230</v>
      </c>
      <c r="Y73" s="208"/>
    </row>
    <row r="74" spans="1:25" x14ac:dyDescent="0.2">
      <c r="D74" s="180"/>
      <c r="I74" s="218"/>
      <c r="J74" s="227" t="s">
        <v>231</v>
      </c>
      <c r="K74" s="227" t="s">
        <v>232</v>
      </c>
      <c r="L74" s="227"/>
      <c r="M74" s="208"/>
      <c r="N74" s="184"/>
      <c r="O74" s="218"/>
      <c r="P74" s="227" t="s">
        <v>231</v>
      </c>
      <c r="Q74" s="227" t="s">
        <v>232</v>
      </c>
      <c r="R74" s="227"/>
      <c r="S74" s="208"/>
      <c r="T74" s="184"/>
      <c r="U74" s="218"/>
      <c r="V74" s="227" t="s">
        <v>231</v>
      </c>
      <c r="W74" s="227" t="s">
        <v>232</v>
      </c>
      <c r="X74" s="227"/>
      <c r="Y74" s="208"/>
    </row>
    <row r="75" spans="1:25" x14ac:dyDescent="0.2">
      <c r="D75" s="180"/>
      <c r="I75" s="218"/>
      <c r="J75" s="213">
        <f>J14</f>
        <v>0</v>
      </c>
      <c r="K75" s="213"/>
      <c r="L75" s="213">
        <v>2123</v>
      </c>
      <c r="M75" s="208"/>
      <c r="N75" s="184"/>
      <c r="O75" s="218"/>
      <c r="P75" s="213">
        <f>P14</f>
        <v>0</v>
      </c>
      <c r="Q75" s="213"/>
      <c r="R75" s="213">
        <f>R14</f>
        <v>2123</v>
      </c>
      <c r="S75" s="208"/>
      <c r="T75" s="184"/>
      <c r="U75" s="218"/>
      <c r="V75" s="213">
        <f>V14</f>
        <v>0</v>
      </c>
      <c r="W75" s="213"/>
      <c r="X75" s="213">
        <f>X14</f>
        <v>2123</v>
      </c>
      <c r="Y75" s="208"/>
    </row>
    <row r="76" spans="1:25" x14ac:dyDescent="0.2">
      <c r="D76" s="180"/>
      <c r="I76" s="218"/>
      <c r="J76" s="208"/>
      <c r="K76" s="208"/>
      <c r="L76" s="208"/>
      <c r="M76" s="208"/>
      <c r="N76" s="184"/>
      <c r="O76" s="218"/>
      <c r="P76" s="208"/>
      <c r="Q76" s="208"/>
      <c r="R76" s="208"/>
      <c r="S76" s="208"/>
      <c r="T76" s="184"/>
      <c r="U76" s="218"/>
      <c r="V76" s="208"/>
      <c r="W76" s="208"/>
      <c r="X76" s="208"/>
      <c r="Y76" s="208"/>
    </row>
    <row r="77" spans="1:25" x14ac:dyDescent="0.2">
      <c r="D77" s="180"/>
      <c r="I77" s="217">
        <f ca="1">IF(J63&lt;=0,0,IF(OR(Privé!D$20=Dropdowns!$N$2,Privé!D$20=Dropdowns!$N$3),0,SUM(M80:M84)))</f>
        <v>0</v>
      </c>
      <c r="J77" s="515" t="s">
        <v>472</v>
      </c>
      <c r="K77" s="515"/>
      <c r="L77" s="515"/>
      <c r="M77" s="208"/>
      <c r="N77" s="184"/>
      <c r="O77" s="217">
        <f>IF(P63&lt;=0,0,IF(OR(Privé!H$20=Dropdowns!$N$2,Privé!H$20=Dropdowns!$N$3),0,SUM(S80:S84)))</f>
        <v>0</v>
      </c>
      <c r="P77" s="515" t="str">
        <f>J77</f>
        <v>Meewerkaftrek (2017)</v>
      </c>
      <c r="Q77" s="515"/>
      <c r="R77" s="515"/>
      <c r="S77" s="208"/>
      <c r="T77" s="184"/>
      <c r="U77" s="217">
        <f>IF(V63&lt;=0,0,IF(OR(Privé!L$20=Dropdowns!$N$2,Privé!L$20=Dropdowns!$N$3),0,SUM(Y80:Y84)))</f>
        <v>0</v>
      </c>
      <c r="V77" s="515" t="str">
        <f>J77</f>
        <v>Meewerkaftrek (2017)</v>
      </c>
      <c r="W77" s="515"/>
      <c r="X77" s="515"/>
      <c r="Y77" s="208"/>
    </row>
    <row r="78" spans="1:25" x14ac:dyDescent="0.2">
      <c r="D78" s="180"/>
      <c r="I78" s="218"/>
      <c r="J78" s="514" t="s">
        <v>233</v>
      </c>
      <c r="K78" s="514"/>
      <c r="L78" s="211" t="s">
        <v>230</v>
      </c>
      <c r="M78" s="208"/>
      <c r="N78" s="184"/>
      <c r="O78" s="218"/>
      <c r="P78" s="514" t="s">
        <v>233</v>
      </c>
      <c r="Q78" s="514"/>
      <c r="R78" s="211" t="s">
        <v>230</v>
      </c>
      <c r="S78" s="208"/>
      <c r="T78" s="184"/>
      <c r="U78" s="218"/>
      <c r="V78" s="514" t="s">
        <v>233</v>
      </c>
      <c r="W78" s="514"/>
      <c r="X78" s="211" t="s">
        <v>230</v>
      </c>
      <c r="Y78" s="208"/>
    </row>
    <row r="79" spans="1:25" x14ac:dyDescent="0.2">
      <c r="D79" s="180"/>
      <c r="I79" s="218"/>
      <c r="J79" s="227" t="s">
        <v>231</v>
      </c>
      <c r="K79" s="227" t="s">
        <v>232</v>
      </c>
      <c r="L79" s="227"/>
      <c r="M79" s="208"/>
      <c r="N79" s="184"/>
      <c r="O79" s="218"/>
      <c r="P79" s="227" t="s">
        <v>231</v>
      </c>
      <c r="Q79" s="227" t="s">
        <v>232</v>
      </c>
      <c r="R79" s="227"/>
      <c r="S79" s="208"/>
      <c r="T79" s="184"/>
      <c r="U79" s="218"/>
      <c r="V79" s="227" t="s">
        <v>231</v>
      </c>
      <c r="W79" s="227" t="s">
        <v>232</v>
      </c>
      <c r="X79" s="227"/>
      <c r="Y79" s="208"/>
    </row>
    <row r="80" spans="1:25" x14ac:dyDescent="0.2">
      <c r="D80" s="180"/>
      <c r="I80" s="218"/>
      <c r="J80" s="214">
        <f t="shared" ref="J80:K80" si="34">J19</f>
        <v>0</v>
      </c>
      <c r="K80" s="214">
        <f t="shared" si="34"/>
        <v>525</v>
      </c>
      <c r="L80" s="215">
        <v>0</v>
      </c>
      <c r="M80" s="212">
        <f>IF(Privé!D$20=Dropdowns!$N$4,IB!J63*IB!L80,0)</f>
        <v>0</v>
      </c>
      <c r="N80" s="184"/>
      <c r="O80" s="218"/>
      <c r="P80" s="214">
        <f t="shared" ref="P80:R80" si="35">P19</f>
        <v>0</v>
      </c>
      <c r="Q80" s="214">
        <f t="shared" si="35"/>
        <v>525</v>
      </c>
      <c r="R80" s="215">
        <f t="shared" si="35"/>
        <v>0</v>
      </c>
      <c r="S80" s="212">
        <f>IF(Privé!H$20=Dropdowns!$N$4,IB!P63*IB!R80,0)</f>
        <v>0</v>
      </c>
      <c r="T80" s="184"/>
      <c r="U80" s="218"/>
      <c r="V80" s="214">
        <f t="shared" ref="V80:X80" si="36">V19</f>
        <v>0</v>
      </c>
      <c r="W80" s="214">
        <f t="shared" si="36"/>
        <v>525</v>
      </c>
      <c r="X80" s="215">
        <f t="shared" si="36"/>
        <v>0</v>
      </c>
      <c r="Y80" s="212">
        <f>IF(Privé!L$20=Dropdowns!$N$4,IB!V63*IB!X80,0)</f>
        <v>0</v>
      </c>
    </row>
    <row r="81" spans="4:25" x14ac:dyDescent="0.2">
      <c r="D81" s="180"/>
      <c r="I81" s="218"/>
      <c r="J81" s="214">
        <f t="shared" ref="J81:K81" si="37">J20</f>
        <v>525</v>
      </c>
      <c r="K81" s="214">
        <f t="shared" si="37"/>
        <v>875</v>
      </c>
      <c r="L81" s="215">
        <v>1.2500000000000001E-2</v>
      </c>
      <c r="M81" s="212">
        <f>IF(Privé!D$20=Dropdowns!$N$5,IB!J63*IB!L81,0)</f>
        <v>0</v>
      </c>
      <c r="N81" s="184"/>
      <c r="O81" s="218"/>
      <c r="P81" s="214">
        <f t="shared" ref="P81:R81" si="38">P20</f>
        <v>525</v>
      </c>
      <c r="Q81" s="214">
        <f t="shared" si="38"/>
        <v>875</v>
      </c>
      <c r="R81" s="215">
        <f t="shared" si="38"/>
        <v>1.2500000000000001E-2</v>
      </c>
      <c r="S81" s="212">
        <f>IF(Privé!H$20=Dropdowns!$N$5,IB!P63*IB!R81,0)</f>
        <v>0</v>
      </c>
      <c r="T81" s="184"/>
      <c r="U81" s="218"/>
      <c r="V81" s="214">
        <f t="shared" ref="V81:X81" si="39">V20</f>
        <v>525</v>
      </c>
      <c r="W81" s="214">
        <f t="shared" si="39"/>
        <v>875</v>
      </c>
      <c r="X81" s="215">
        <f t="shared" si="39"/>
        <v>1.2500000000000001E-2</v>
      </c>
      <c r="Y81" s="212">
        <f>IF(Privé!L$20=Dropdowns!$N$5,IB!V63*IB!X81,0)</f>
        <v>0</v>
      </c>
    </row>
    <row r="82" spans="4:25" x14ac:dyDescent="0.2">
      <c r="D82" s="180"/>
      <c r="I82" s="218"/>
      <c r="J82" s="214">
        <f t="shared" ref="J82:K82" si="40">J21</f>
        <v>875</v>
      </c>
      <c r="K82" s="214">
        <f t="shared" si="40"/>
        <v>1225</v>
      </c>
      <c r="L82" s="215">
        <v>0.02</v>
      </c>
      <c r="M82" s="212">
        <f>IF(Privé!D$20=Dropdowns!$N$6,IB!J63*IB!L82,0)</f>
        <v>0</v>
      </c>
      <c r="N82" s="184"/>
      <c r="O82" s="218"/>
      <c r="P82" s="214">
        <f t="shared" ref="P82:R82" si="41">P21</f>
        <v>875</v>
      </c>
      <c r="Q82" s="214">
        <f t="shared" si="41"/>
        <v>1225</v>
      </c>
      <c r="R82" s="215">
        <f t="shared" si="41"/>
        <v>0.02</v>
      </c>
      <c r="S82" s="212">
        <f>IF(Privé!H$20=Dropdowns!$N$6,IB!P63*IB!R82,0)</f>
        <v>0</v>
      </c>
      <c r="T82" s="184"/>
      <c r="U82" s="218"/>
      <c r="V82" s="214">
        <f t="shared" ref="V82:X82" si="42">V21</f>
        <v>875</v>
      </c>
      <c r="W82" s="214">
        <f t="shared" si="42"/>
        <v>1225</v>
      </c>
      <c r="X82" s="215">
        <f t="shared" si="42"/>
        <v>0.02</v>
      </c>
      <c r="Y82" s="212">
        <f>IF(Privé!L$20=Dropdowns!$N$6,IB!V63*IB!X82,0)</f>
        <v>0</v>
      </c>
    </row>
    <row r="83" spans="4:25" x14ac:dyDescent="0.2">
      <c r="D83" s="180"/>
      <c r="I83" s="218"/>
      <c r="J83" s="214">
        <f t="shared" ref="J83:K83" si="43">J22</f>
        <v>1225</v>
      </c>
      <c r="K83" s="214">
        <f t="shared" si="43"/>
        <v>1750</v>
      </c>
      <c r="L83" s="215">
        <v>0.03</v>
      </c>
      <c r="M83" s="212">
        <f>IF(Privé!D$20=Dropdowns!$N$7,IB!J63*IB!L83,0)</f>
        <v>0</v>
      </c>
      <c r="N83" s="184"/>
      <c r="O83" s="218"/>
      <c r="P83" s="214">
        <f t="shared" ref="P83:R83" si="44">P22</f>
        <v>1225</v>
      </c>
      <c r="Q83" s="214">
        <f t="shared" si="44"/>
        <v>1750</v>
      </c>
      <c r="R83" s="215">
        <f t="shared" si="44"/>
        <v>0.03</v>
      </c>
      <c r="S83" s="212">
        <f>IF(Privé!H$20=Dropdowns!$N$7,IB!P63*IB!R83,0)</f>
        <v>0</v>
      </c>
      <c r="T83" s="184"/>
      <c r="U83" s="218"/>
      <c r="V83" s="214">
        <f t="shared" ref="V83:X83" si="45">V22</f>
        <v>1225</v>
      </c>
      <c r="W83" s="214">
        <f t="shared" si="45"/>
        <v>1750</v>
      </c>
      <c r="X83" s="215">
        <f t="shared" si="45"/>
        <v>0.03</v>
      </c>
      <c r="Y83" s="212">
        <f>IF(Privé!L$20=Dropdowns!$N$7,IB!V63*IB!X83,0)</f>
        <v>0</v>
      </c>
    </row>
    <row r="84" spans="4:25" x14ac:dyDescent="0.2">
      <c r="D84" s="180"/>
      <c r="I84" s="218"/>
      <c r="J84" s="214">
        <f t="shared" ref="J84" si="46">J23</f>
        <v>1750</v>
      </c>
      <c r="K84" s="214"/>
      <c r="L84" s="215">
        <v>0.04</v>
      </c>
      <c r="M84" s="212">
        <f>IF(Privé!D$20=Dropdowns!$N$8,IB!J63*IB!L84,0)</f>
        <v>0</v>
      </c>
      <c r="N84" s="184"/>
      <c r="O84" s="218"/>
      <c r="P84" s="214">
        <f t="shared" ref="P84:R84" si="47">P23</f>
        <v>1750</v>
      </c>
      <c r="Q84" s="214"/>
      <c r="R84" s="215">
        <f t="shared" si="47"/>
        <v>0.04</v>
      </c>
      <c r="S84" s="212">
        <f>IF(Privé!H$20=Dropdowns!$N$8,IB!P63*IB!R84,0)</f>
        <v>0</v>
      </c>
      <c r="T84" s="184"/>
      <c r="U84" s="218"/>
      <c r="V84" s="214">
        <f t="shared" ref="V84:X84" si="48">V23</f>
        <v>1750</v>
      </c>
      <c r="W84" s="214"/>
      <c r="X84" s="215">
        <f t="shared" si="48"/>
        <v>0.04</v>
      </c>
      <c r="Y84" s="212">
        <f>IF(Privé!L$20=Dropdowns!$N$8,IB!V63*IB!X84,0)</f>
        <v>0</v>
      </c>
    </row>
    <row r="85" spans="4:25" x14ac:dyDescent="0.2">
      <c r="D85" s="180"/>
      <c r="I85" s="218"/>
      <c r="J85" s="208"/>
      <c r="K85" s="208"/>
      <c r="L85" s="208"/>
      <c r="M85" s="208"/>
      <c r="N85" s="184"/>
      <c r="O85" s="218"/>
      <c r="P85" s="208"/>
      <c r="Q85" s="208"/>
      <c r="R85" s="208"/>
      <c r="S85" s="208"/>
      <c r="T85" s="184"/>
      <c r="U85" s="218"/>
      <c r="V85" s="208"/>
      <c r="W85" s="208"/>
      <c r="X85" s="208"/>
      <c r="Y85" s="208"/>
    </row>
    <row r="86" spans="4:25" x14ac:dyDescent="0.2">
      <c r="D86" s="180"/>
      <c r="I86" s="217">
        <f>IF(J64&lt;=0,0,IF(OR(Privé!D$21=Dropdowns!$B$2,Privé!D$21=Dropdowns!$B$4),0,SUM(M89:M93)))</f>
        <v>8400</v>
      </c>
      <c r="J86" s="515" t="s">
        <v>473</v>
      </c>
      <c r="K86" s="515"/>
      <c r="L86" s="515"/>
      <c r="M86" s="208"/>
      <c r="N86" s="184"/>
      <c r="O86" s="217">
        <f>IF(P64&lt;=0,0,IF(OR(Privé!H$21=Dropdowns!$B$2,Privé!H$21=Dropdowns!$B$4),0,SUM(S89:S93)))</f>
        <v>0</v>
      </c>
      <c r="P86" s="515" t="str">
        <f>J86</f>
        <v>Investeringsaftrek (2017)</v>
      </c>
      <c r="Q86" s="515"/>
      <c r="R86" s="515"/>
      <c r="S86" s="208"/>
      <c r="T86" s="184"/>
      <c r="U86" s="217">
        <f>IF(V64&lt;=0,0,IF(OR(Privé!L$21=Dropdowns!$B$2,Privé!L$21=Dropdowns!$B$4),0,SUM(Y89:Y93)))</f>
        <v>0</v>
      </c>
      <c r="V86" s="515" t="str">
        <f>J86</f>
        <v>Investeringsaftrek (2017)</v>
      </c>
      <c r="W86" s="515"/>
      <c r="X86" s="515"/>
      <c r="Y86" s="208"/>
    </row>
    <row r="87" spans="4:25" x14ac:dyDescent="0.2">
      <c r="D87" s="180"/>
      <c r="I87" s="218"/>
      <c r="J87" s="514" t="s">
        <v>234</v>
      </c>
      <c r="K87" s="514"/>
      <c r="L87" s="211" t="s">
        <v>230</v>
      </c>
      <c r="M87" s="208"/>
      <c r="N87" s="184"/>
      <c r="O87" s="218"/>
      <c r="P87" s="514" t="s">
        <v>234</v>
      </c>
      <c r="Q87" s="514"/>
      <c r="R87" s="211" t="s">
        <v>230</v>
      </c>
      <c r="S87" s="208"/>
      <c r="T87" s="184"/>
      <c r="U87" s="218"/>
      <c r="V87" s="514" t="s">
        <v>234</v>
      </c>
      <c r="W87" s="514"/>
      <c r="X87" s="211" t="s">
        <v>230</v>
      </c>
      <c r="Y87" s="208"/>
    </row>
    <row r="88" spans="4:25" x14ac:dyDescent="0.2">
      <c r="I88" s="218"/>
      <c r="J88" s="227" t="s">
        <v>231</v>
      </c>
      <c r="K88" s="227" t="s">
        <v>232</v>
      </c>
      <c r="L88" s="227"/>
      <c r="M88" s="208"/>
      <c r="N88" s="184"/>
      <c r="O88" s="218"/>
      <c r="P88" s="227" t="s">
        <v>231</v>
      </c>
      <c r="Q88" s="227" t="s">
        <v>232</v>
      </c>
      <c r="R88" s="227"/>
      <c r="S88" s="208"/>
      <c r="T88" s="184"/>
      <c r="U88" s="218"/>
      <c r="V88" s="227" t="s">
        <v>231</v>
      </c>
      <c r="W88" s="227" t="s">
        <v>232</v>
      </c>
      <c r="X88" s="227"/>
      <c r="Y88" s="208"/>
    </row>
    <row r="89" spans="4:25" x14ac:dyDescent="0.2">
      <c r="I89" s="218"/>
      <c r="J89" s="216">
        <f t="shared" ref="J89:L89" si="49">J28</f>
        <v>0</v>
      </c>
      <c r="K89" s="216">
        <f t="shared" si="49"/>
        <v>2401</v>
      </c>
      <c r="L89" s="215">
        <f t="shared" si="49"/>
        <v>0</v>
      </c>
      <c r="M89" s="212">
        <f>IF(AND(J64&gt;=J89,J64&lt;K89),L89*J64,0)</f>
        <v>0</v>
      </c>
      <c r="N89" s="184"/>
      <c r="O89" s="218"/>
      <c r="P89" s="216">
        <f t="shared" ref="P89:R89" si="50">P28</f>
        <v>0</v>
      </c>
      <c r="Q89" s="216">
        <f t="shared" si="50"/>
        <v>2401</v>
      </c>
      <c r="R89" s="215">
        <f t="shared" si="50"/>
        <v>0</v>
      </c>
      <c r="S89" s="212">
        <f>IF(AND(P64&gt;=P89,P64&lt;Q89),R89*P64,0)</f>
        <v>0</v>
      </c>
      <c r="T89" s="184"/>
      <c r="U89" s="218"/>
      <c r="V89" s="216">
        <f t="shared" ref="V89:X89" si="51">V28</f>
        <v>0</v>
      </c>
      <c r="W89" s="216">
        <f t="shared" si="51"/>
        <v>2401</v>
      </c>
      <c r="X89" s="215">
        <f t="shared" si="51"/>
        <v>0</v>
      </c>
      <c r="Y89" s="212">
        <f>IF(AND(V64&gt;=V89,V64&lt;W89),X89*V64,0)</f>
        <v>0</v>
      </c>
    </row>
    <row r="90" spans="4:25" x14ac:dyDescent="0.2">
      <c r="I90" s="218"/>
      <c r="J90" s="213">
        <f t="shared" ref="J90:L90" si="52">J29</f>
        <v>2401</v>
      </c>
      <c r="K90" s="213">
        <f t="shared" si="52"/>
        <v>59940</v>
      </c>
      <c r="L90" s="215">
        <f t="shared" si="52"/>
        <v>0.28000000000000003</v>
      </c>
      <c r="M90" s="212">
        <f>IF(AND(J64&gt;=J90,J64&lt;K90),L90*J64,0)</f>
        <v>8400</v>
      </c>
      <c r="N90" s="184"/>
      <c r="O90" s="218"/>
      <c r="P90" s="213">
        <f t="shared" ref="P90:R90" si="53">P29</f>
        <v>2401</v>
      </c>
      <c r="Q90" s="213">
        <f t="shared" si="53"/>
        <v>59940</v>
      </c>
      <c r="R90" s="215">
        <f t="shared" si="53"/>
        <v>0.28000000000000003</v>
      </c>
      <c r="S90" s="212">
        <f>IF(AND(P64&gt;=P90,P64&lt;Q90),R90*P64,0)</f>
        <v>0</v>
      </c>
      <c r="T90" s="184"/>
      <c r="U90" s="218"/>
      <c r="V90" s="213">
        <f t="shared" ref="V90:X90" si="54">V29</f>
        <v>2401</v>
      </c>
      <c r="W90" s="213">
        <f t="shared" si="54"/>
        <v>59940</v>
      </c>
      <c r="X90" s="215">
        <f t="shared" si="54"/>
        <v>0.28000000000000003</v>
      </c>
      <c r="Y90" s="212">
        <f>IF(AND(V64&gt;=V90,V64&lt;W90),X90*V64,0)</f>
        <v>0</v>
      </c>
    </row>
    <row r="91" spans="4:25" x14ac:dyDescent="0.2">
      <c r="I91" s="218"/>
      <c r="J91" s="213">
        <f t="shared" ref="J91:L91" si="55">J30</f>
        <v>59940</v>
      </c>
      <c r="K91" s="213">
        <f t="shared" si="55"/>
        <v>110999</v>
      </c>
      <c r="L91" s="213">
        <f t="shared" si="55"/>
        <v>16784</v>
      </c>
      <c r="M91" s="212">
        <f>IF(AND(J64&gt;=J91,J64&lt;K91),L91,0)</f>
        <v>0</v>
      </c>
      <c r="N91" s="184"/>
      <c r="O91" s="218"/>
      <c r="P91" s="213">
        <f t="shared" ref="P91:R91" si="56">P30</f>
        <v>59940</v>
      </c>
      <c r="Q91" s="213">
        <f t="shared" si="56"/>
        <v>110999</v>
      </c>
      <c r="R91" s="213">
        <f t="shared" si="56"/>
        <v>16784</v>
      </c>
      <c r="S91" s="212">
        <f>IF(AND(P64&gt;=P91,P64&lt;Q91),R91,0)</f>
        <v>0</v>
      </c>
      <c r="T91" s="184"/>
      <c r="U91" s="218"/>
      <c r="V91" s="213">
        <f t="shared" ref="V91:X91" si="57">V30</f>
        <v>59940</v>
      </c>
      <c r="W91" s="213">
        <f t="shared" si="57"/>
        <v>110999</v>
      </c>
      <c r="X91" s="213">
        <f t="shared" si="57"/>
        <v>16784</v>
      </c>
      <c r="Y91" s="212">
        <f>IF(AND(V64&gt;=V91,V64&lt;W91),X91,0)</f>
        <v>0</v>
      </c>
    </row>
    <row r="92" spans="4:25" x14ac:dyDescent="0.2">
      <c r="I92" s="218"/>
      <c r="J92" s="213">
        <f t="shared" ref="J92:L92" si="58">J31</f>
        <v>110999</v>
      </c>
      <c r="K92" s="213">
        <f t="shared" si="58"/>
        <v>332995</v>
      </c>
      <c r="L92" s="215">
        <f t="shared" si="58"/>
        <v>7.5600000000000001E-2</v>
      </c>
      <c r="M92" s="212">
        <f>IF(AND(J64&gt;=J92,J64&lt;K92),L91-((J64-100000)*L92),0)</f>
        <v>0</v>
      </c>
      <c r="N92" s="184"/>
      <c r="O92" s="218"/>
      <c r="P92" s="213">
        <f t="shared" ref="P92:R92" si="59">P31</f>
        <v>110999</v>
      </c>
      <c r="Q92" s="213">
        <f t="shared" si="59"/>
        <v>332995</v>
      </c>
      <c r="R92" s="215">
        <f t="shared" si="59"/>
        <v>7.5600000000000001E-2</v>
      </c>
      <c r="S92" s="212">
        <f>IF(AND(P64&gt;=P92,P64&lt;Q92),R91-((P64-100000)*R92),0)</f>
        <v>0</v>
      </c>
      <c r="T92" s="184"/>
      <c r="U92" s="218"/>
      <c r="V92" s="213">
        <f t="shared" ref="V92:X92" si="60">V31</f>
        <v>110999</v>
      </c>
      <c r="W92" s="213">
        <f t="shared" si="60"/>
        <v>332995</v>
      </c>
      <c r="X92" s="215">
        <f t="shared" si="60"/>
        <v>7.5600000000000001E-2</v>
      </c>
      <c r="Y92" s="212">
        <f>IF(AND(V64&gt;=V92,V64&lt;W92),X91-((V64-100000)*X92),0)</f>
        <v>0</v>
      </c>
    </row>
    <row r="93" spans="4:25" x14ac:dyDescent="0.2">
      <c r="I93" s="218"/>
      <c r="J93" s="213">
        <f t="shared" ref="J93:L93" si="61">J32</f>
        <v>332995</v>
      </c>
      <c r="K93" s="213"/>
      <c r="L93" s="215">
        <f t="shared" si="61"/>
        <v>0</v>
      </c>
      <c r="M93" s="212">
        <f>IF(J64&gt;=J93,J64*L93,0)</f>
        <v>0</v>
      </c>
      <c r="N93" s="184"/>
      <c r="O93" s="218"/>
      <c r="P93" s="213">
        <f t="shared" ref="P93:R93" si="62">P32</f>
        <v>332995</v>
      </c>
      <c r="Q93" s="213"/>
      <c r="R93" s="215">
        <f t="shared" si="62"/>
        <v>0</v>
      </c>
      <c r="S93" s="212">
        <f>IF(P64&gt;=P93,P64*R93,0)</f>
        <v>0</v>
      </c>
      <c r="T93" s="184"/>
      <c r="U93" s="218"/>
      <c r="V93" s="213">
        <f t="shared" ref="V93:X93" si="63">V32</f>
        <v>332995</v>
      </c>
      <c r="W93" s="213"/>
      <c r="X93" s="215">
        <f t="shared" si="63"/>
        <v>0</v>
      </c>
      <c r="Y93" s="212">
        <f>IF(V64&gt;=V93,V64*X93,0)</f>
        <v>0</v>
      </c>
    </row>
    <row r="94" spans="4:25" x14ac:dyDescent="0.2">
      <c r="I94" s="218"/>
      <c r="J94" s="208"/>
      <c r="K94" s="208"/>
      <c r="L94" s="208"/>
      <c r="M94" s="208"/>
      <c r="N94" s="184"/>
      <c r="O94" s="218"/>
      <c r="P94" s="208"/>
      <c r="Q94" s="208"/>
      <c r="R94" s="208"/>
      <c r="S94" s="208"/>
      <c r="T94" s="184"/>
      <c r="U94" s="218"/>
      <c r="V94" s="208"/>
      <c r="W94" s="208"/>
      <c r="X94" s="208"/>
      <c r="Y94" s="208"/>
    </row>
    <row r="95" spans="4:25" x14ac:dyDescent="0.2">
      <c r="I95" s="218"/>
      <c r="J95" s="515" t="s">
        <v>474</v>
      </c>
      <c r="K95" s="515"/>
      <c r="L95" s="515"/>
      <c r="M95" s="208"/>
      <c r="N95" s="184"/>
      <c r="O95" s="218"/>
      <c r="P95" s="515" t="str">
        <f>J95</f>
        <v>MKB-winstvrijstelling (2017)</v>
      </c>
      <c r="Q95" s="515"/>
      <c r="R95" s="515"/>
      <c r="S95" s="208"/>
      <c r="T95" s="184"/>
      <c r="U95" s="218"/>
      <c r="V95" s="515" t="str">
        <f>J95</f>
        <v>MKB-winstvrijstelling (2017)</v>
      </c>
      <c r="W95" s="515"/>
      <c r="X95" s="515"/>
      <c r="Y95" s="208"/>
    </row>
    <row r="96" spans="4:25" x14ac:dyDescent="0.2">
      <c r="I96" s="218"/>
      <c r="J96" s="514" t="s">
        <v>235</v>
      </c>
      <c r="K96" s="514"/>
      <c r="L96" s="211" t="s">
        <v>230</v>
      </c>
      <c r="M96" s="208"/>
      <c r="N96" s="184"/>
      <c r="O96" s="218"/>
      <c r="P96" s="514" t="s">
        <v>235</v>
      </c>
      <c r="Q96" s="514"/>
      <c r="R96" s="211" t="s">
        <v>230</v>
      </c>
      <c r="S96" s="208"/>
      <c r="T96" s="184"/>
      <c r="U96" s="218"/>
      <c r="V96" s="514" t="s">
        <v>235</v>
      </c>
      <c r="W96" s="514"/>
      <c r="X96" s="211" t="s">
        <v>230</v>
      </c>
      <c r="Y96" s="208"/>
    </row>
    <row r="97" spans="9:26" x14ac:dyDescent="0.2">
      <c r="I97" s="217">
        <f ca="1">IF(OR(Privé!D$22=Dropdowns!$B$2,Privé!D$22=Dropdowns!$B$4),0,IF(J63-I67-I72-I77&lt;0,0,(J63-I67-I72-I77)*L98))</f>
        <v>0</v>
      </c>
      <c r="J97" s="227" t="s">
        <v>231</v>
      </c>
      <c r="K97" s="227" t="s">
        <v>232</v>
      </c>
      <c r="L97" s="227"/>
      <c r="M97" s="208"/>
      <c r="N97" s="184"/>
      <c r="O97" s="217">
        <f>IF(OR(Privé!H$22=Dropdowns!$B$2,Privé!H$22=Dropdowns!$B$4),0,IF(P63-O67-O72-O77&lt;0,0,(P63-O67-O72-O77)*R98))</f>
        <v>0</v>
      </c>
      <c r="P97" s="227" t="s">
        <v>231</v>
      </c>
      <c r="Q97" s="227" t="s">
        <v>232</v>
      </c>
      <c r="R97" s="227"/>
      <c r="S97" s="208"/>
      <c r="T97" s="184"/>
      <c r="U97" s="217">
        <f>IF(OR(Privé!L$22=Dropdowns!$B$2,Privé!L$22=Dropdowns!$B$4),0,IF(V63-U67-U72-U77&lt;0,0,(V63-U67-U72-U77)*X98))</f>
        <v>0</v>
      </c>
      <c r="V97" s="227" t="s">
        <v>231</v>
      </c>
      <c r="W97" s="227" t="s">
        <v>232</v>
      </c>
      <c r="X97" s="227"/>
      <c r="Y97" s="208"/>
    </row>
    <row r="98" spans="9:26" x14ac:dyDescent="0.2">
      <c r="I98" s="219"/>
      <c r="J98" s="213">
        <f>J37</f>
        <v>0</v>
      </c>
      <c r="K98" s="213"/>
      <c r="L98" s="215">
        <f>L37</f>
        <v>0.14000000000000001</v>
      </c>
      <c r="M98" s="210"/>
      <c r="N98" s="184"/>
      <c r="O98" s="219"/>
      <c r="P98" s="213">
        <f>P37</f>
        <v>0</v>
      </c>
      <c r="Q98" s="213"/>
      <c r="R98" s="215">
        <f>R37</f>
        <v>0.14000000000000001</v>
      </c>
      <c r="S98" s="210"/>
      <c r="T98" s="184"/>
      <c r="U98" s="219"/>
      <c r="V98" s="213">
        <f t="shared" ref="V98:X98" si="64">V37</f>
        <v>0</v>
      </c>
      <c r="W98" s="213"/>
      <c r="X98" s="215">
        <f t="shared" si="64"/>
        <v>0.14000000000000001</v>
      </c>
      <c r="Y98" s="210"/>
    </row>
    <row r="99" spans="9:26" x14ac:dyDescent="0.2">
      <c r="I99" s="219"/>
      <c r="J99" s="184"/>
      <c r="K99" s="184"/>
      <c r="L99" s="184"/>
      <c r="M99" s="184"/>
      <c r="N99" s="184"/>
      <c r="O99" s="219"/>
      <c r="P99" s="184"/>
      <c r="Q99" s="184"/>
      <c r="R99" s="184"/>
      <c r="S99" s="184"/>
      <c r="T99" s="184"/>
      <c r="U99" s="219"/>
      <c r="V99" s="184"/>
      <c r="W99" s="184"/>
      <c r="X99" s="184"/>
      <c r="Y99" s="184"/>
    </row>
    <row r="100" spans="9:26" x14ac:dyDescent="0.2">
      <c r="I100" s="218"/>
      <c r="J100" s="515" t="s">
        <v>475</v>
      </c>
      <c r="K100" s="515"/>
      <c r="L100" s="515"/>
      <c r="M100" s="208"/>
      <c r="N100" s="184"/>
      <c r="O100" s="218"/>
      <c r="P100" s="515" t="str">
        <f>J100</f>
        <v>Ouderdagsreserve (2017)</v>
      </c>
      <c r="Q100" s="515"/>
      <c r="R100" s="515"/>
      <c r="S100" s="208"/>
      <c r="T100" s="184"/>
      <c r="U100" s="218"/>
      <c r="V100" s="515" t="str">
        <f>J100</f>
        <v>Ouderdagsreserve (2017)</v>
      </c>
      <c r="W100" s="515"/>
      <c r="X100" s="515"/>
      <c r="Y100" s="208"/>
    </row>
    <row r="101" spans="9:26" x14ac:dyDescent="0.2">
      <c r="I101" s="218"/>
      <c r="J101" s="514" t="s">
        <v>235</v>
      </c>
      <c r="K101" s="514"/>
      <c r="L101" s="211" t="s">
        <v>230</v>
      </c>
      <c r="M101" s="208"/>
      <c r="N101" s="184"/>
      <c r="O101" s="218"/>
      <c r="P101" s="514" t="s">
        <v>235</v>
      </c>
      <c r="Q101" s="514"/>
      <c r="R101" s="211" t="s">
        <v>230</v>
      </c>
      <c r="S101" s="208"/>
      <c r="T101" s="184"/>
      <c r="U101" s="218"/>
      <c r="V101" s="514" t="s">
        <v>235</v>
      </c>
      <c r="W101" s="514"/>
      <c r="X101" s="211" t="s">
        <v>230</v>
      </c>
      <c r="Y101" s="208"/>
    </row>
    <row r="102" spans="9:26" x14ac:dyDescent="0.2">
      <c r="I102" s="217">
        <f ca="1">IF(OR(Privé!D$23=Dropdowns!$B$2,Privé!D$23=Dropdowns!$B$4),0,M103)</f>
        <v>0</v>
      </c>
      <c r="J102" s="227" t="s">
        <v>231</v>
      </c>
      <c r="K102" s="227" t="s">
        <v>232</v>
      </c>
      <c r="L102" s="227"/>
      <c r="M102" s="208"/>
      <c r="N102" s="184"/>
      <c r="O102" s="217">
        <f>IF(OR(Privé!H$23=Dropdowns!$B$2,Privé!H$23=Dropdowns!$B$4),0,S103)</f>
        <v>0</v>
      </c>
      <c r="P102" s="227" t="s">
        <v>231</v>
      </c>
      <c r="Q102" s="227" t="s">
        <v>232</v>
      </c>
      <c r="R102" s="227"/>
      <c r="S102" s="208"/>
      <c r="T102" s="184"/>
      <c r="U102" s="217">
        <f>IF(OR(Privé!L$23=Dropdowns!$B$2,Privé!L$23=Dropdowns!$B$4),0,Y103)</f>
        <v>0</v>
      </c>
      <c r="V102" s="227" t="s">
        <v>231</v>
      </c>
      <c r="W102" s="227" t="s">
        <v>232</v>
      </c>
      <c r="X102" s="227"/>
      <c r="Y102" s="208"/>
    </row>
    <row r="103" spans="9:26" x14ac:dyDescent="0.2">
      <c r="I103" s="219"/>
      <c r="J103" s="213">
        <f t="shared" ref="J103:L103" si="65">J42</f>
        <v>0</v>
      </c>
      <c r="K103" s="213">
        <f t="shared" si="65"/>
        <v>9632</v>
      </c>
      <c r="L103" s="215">
        <f t="shared" si="65"/>
        <v>9.4399999999999998E-2</v>
      </c>
      <c r="M103" s="210">
        <f ca="1">IF(J63&lt;=0,0,IF(J63*L103&gt;K103,K103,J63*L103))</f>
        <v>0</v>
      </c>
      <c r="N103" s="184"/>
      <c r="O103" s="219"/>
      <c r="P103" s="213">
        <f t="shared" ref="P103:R103" si="66">P42</f>
        <v>0</v>
      </c>
      <c r="Q103" s="213">
        <f t="shared" si="66"/>
        <v>9632</v>
      </c>
      <c r="R103" s="215">
        <f t="shared" si="66"/>
        <v>9.4399999999999998E-2</v>
      </c>
      <c r="S103" s="210">
        <f>IF(P63&lt;=0,0,IF(P63*R103&gt;Q103,Q103,P63*R103))</f>
        <v>0</v>
      </c>
      <c r="T103" s="184"/>
      <c r="U103" s="219"/>
      <c r="V103" s="213">
        <f t="shared" ref="V103:X103" si="67">V42</f>
        <v>0</v>
      </c>
      <c r="W103" s="213">
        <f t="shared" si="67"/>
        <v>9632</v>
      </c>
      <c r="X103" s="215">
        <f t="shared" si="67"/>
        <v>9.4399999999999998E-2</v>
      </c>
      <c r="Y103" s="210">
        <f>IF(V63&lt;=0,0,IF(V63*X103&gt;W103,W103,V63*X103))</f>
        <v>0</v>
      </c>
    </row>
    <row r="104" spans="9:26" x14ac:dyDescent="0.2">
      <c r="M104" s="124"/>
      <c r="S104" s="124"/>
      <c r="Y104" s="124"/>
    </row>
    <row r="105" spans="9:26" x14ac:dyDescent="0.2">
      <c r="I105" s="217">
        <f ca="1">IF(Privé!D$26=Dropdowns!$B$3,SUM(L108:L110),0)</f>
        <v>0</v>
      </c>
      <c r="J105" s="515" t="s">
        <v>476</v>
      </c>
      <c r="K105" s="515"/>
      <c r="L105" s="515"/>
      <c r="M105" s="208"/>
      <c r="O105" s="217">
        <f>IF(Privé!H$26=Dropdowns!$B$3,SUM(R108:R110),0)</f>
        <v>0</v>
      </c>
      <c r="P105" s="515" t="str">
        <f>J105</f>
        <v>Heffingskorting (2017)</v>
      </c>
      <c r="Q105" s="515"/>
      <c r="R105" s="515"/>
      <c r="S105" s="208"/>
      <c r="U105" s="217">
        <f>IF(Privé!L$26=Dropdowns!$B$3,SUM(X108:X110),0)</f>
        <v>0</v>
      </c>
      <c r="V105" s="515" t="str">
        <f>J105</f>
        <v>Heffingskorting (2017)</v>
      </c>
      <c r="W105" s="515"/>
      <c r="X105" s="515"/>
      <c r="Y105" s="208"/>
    </row>
    <row r="106" spans="9:26" x14ac:dyDescent="0.2">
      <c r="I106" s="218"/>
      <c r="J106" s="514" t="s">
        <v>67</v>
      </c>
      <c r="K106" s="514"/>
      <c r="L106" s="211" t="s">
        <v>423</v>
      </c>
      <c r="M106" s="208"/>
      <c r="O106" s="218"/>
      <c r="P106" s="514" t="s">
        <v>67</v>
      </c>
      <c r="Q106" s="514"/>
      <c r="R106" s="211" t="s">
        <v>423</v>
      </c>
      <c r="S106" s="208"/>
      <c r="U106" s="218"/>
      <c r="V106" s="514" t="s">
        <v>67</v>
      </c>
      <c r="W106" s="514"/>
      <c r="X106" s="211" t="s">
        <v>423</v>
      </c>
      <c r="Y106" s="208"/>
    </row>
    <row r="107" spans="9:26" x14ac:dyDescent="0.2">
      <c r="I107" s="218"/>
      <c r="J107" s="227" t="s">
        <v>231</v>
      </c>
      <c r="K107" s="227" t="s">
        <v>232</v>
      </c>
      <c r="L107" s="227"/>
      <c r="M107" s="208"/>
      <c r="O107" s="218"/>
      <c r="P107" s="227" t="s">
        <v>231</v>
      </c>
      <c r="Q107" s="227" t="s">
        <v>232</v>
      </c>
      <c r="R107" s="227"/>
      <c r="S107" s="208"/>
      <c r="U107" s="218"/>
      <c r="V107" s="227" t="s">
        <v>231</v>
      </c>
      <c r="W107" s="227" t="s">
        <v>232</v>
      </c>
      <c r="X107" s="227"/>
      <c r="Y107" s="208"/>
    </row>
    <row r="108" spans="9:26" x14ac:dyDescent="0.2">
      <c r="I108" s="218"/>
      <c r="J108" s="216">
        <f t="shared" ref="J108:K108" si="68">J47</f>
        <v>0</v>
      </c>
      <c r="K108" s="216">
        <f t="shared" si="68"/>
        <v>21317</v>
      </c>
      <c r="L108" s="213">
        <f ca="1">IF(AND($B$32&gt;J108,$B$32&lt;K108),M108,0)</f>
        <v>0</v>
      </c>
      <c r="M108" s="212">
        <f t="shared" ref="M108:N110" si="69">M47</f>
        <v>2254</v>
      </c>
      <c r="N108" s="179">
        <f t="shared" si="69"/>
        <v>0</v>
      </c>
      <c r="O108" s="218"/>
      <c r="P108" s="216">
        <f t="shared" ref="P108:Q108" si="70">P47</f>
        <v>0</v>
      </c>
      <c r="Q108" s="216">
        <f t="shared" si="70"/>
        <v>21317</v>
      </c>
      <c r="R108" s="213">
        <f>IF(AND($C$32&gt;P108,$C$32&lt;Q108),S108,0)</f>
        <v>0</v>
      </c>
      <c r="S108" s="212">
        <f t="shared" ref="S108:T110" si="71">S47</f>
        <v>2254</v>
      </c>
      <c r="T108" s="179">
        <f t="shared" si="71"/>
        <v>0</v>
      </c>
      <c r="U108" s="218"/>
      <c r="V108" s="216">
        <f t="shared" ref="V108:W108" si="72">V47</f>
        <v>0</v>
      </c>
      <c r="W108" s="216">
        <f t="shared" si="72"/>
        <v>21317</v>
      </c>
      <c r="X108" s="213">
        <f>IF(AND($D$32&gt;V108,$D$32&lt;W108),Y108,0)</f>
        <v>0</v>
      </c>
      <c r="Y108" s="212">
        <f t="shared" ref="Y108:Z108" si="73">Y47</f>
        <v>2203</v>
      </c>
      <c r="Z108" s="179">
        <f t="shared" si="73"/>
        <v>0</v>
      </c>
    </row>
    <row r="109" spans="9:26" x14ac:dyDescent="0.2">
      <c r="I109" s="218"/>
      <c r="J109" s="213">
        <f t="shared" ref="J109:K109" si="74">J48</f>
        <v>21317</v>
      </c>
      <c r="K109" s="213">
        <f t="shared" si="74"/>
        <v>69398</v>
      </c>
      <c r="L109" s="213">
        <f ca="1">IF(AND($B$32&gt;=J109,$B$32&lt;K109),M109-N109*($B$32-J109),0)</f>
        <v>0</v>
      </c>
      <c r="M109" s="212">
        <f t="shared" ref="M109:M110" si="75">M48</f>
        <v>2254</v>
      </c>
      <c r="N109" s="179">
        <f t="shared" si="69"/>
        <v>4.7870000000000003E-2</v>
      </c>
      <c r="O109" s="218"/>
      <c r="P109" s="213">
        <f t="shared" ref="P109:Q109" si="76">P48</f>
        <v>21317</v>
      </c>
      <c r="Q109" s="213">
        <f t="shared" si="76"/>
        <v>69398</v>
      </c>
      <c r="R109" s="213">
        <f>IF(AND($C$32&gt;=P109,$C$32&lt;Q109),S109-T109*($C$32-P109),0)</f>
        <v>0</v>
      </c>
      <c r="S109" s="212">
        <f t="shared" si="71"/>
        <v>2254</v>
      </c>
      <c r="T109" s="179">
        <f t="shared" si="71"/>
        <v>4.7870000000000003E-2</v>
      </c>
      <c r="U109" s="218"/>
      <c r="V109" s="213">
        <f t="shared" ref="V109:W109" si="77">V48</f>
        <v>21317</v>
      </c>
      <c r="W109" s="213">
        <f t="shared" si="77"/>
        <v>69398</v>
      </c>
      <c r="X109" s="213">
        <f>IF(AND($D$32&gt;=V109,$D$32&lt;W109),Y109-Z109*($D$32-V109),0)</f>
        <v>0</v>
      </c>
      <c r="Y109" s="212">
        <f t="shared" ref="Y109:Z109" si="78">Y48</f>
        <v>2203</v>
      </c>
      <c r="Z109" s="179">
        <f t="shared" si="78"/>
        <v>2.3199999999999998E-2</v>
      </c>
    </row>
    <row r="110" spans="9:26" x14ac:dyDescent="0.2">
      <c r="I110" s="218"/>
      <c r="J110" s="213">
        <f t="shared" ref="J110" si="79">J49</f>
        <v>69398</v>
      </c>
      <c r="K110" s="213"/>
      <c r="L110" s="213">
        <f ca="1">IF($B$32&gt;=J110,M110,0)</f>
        <v>0</v>
      </c>
      <c r="M110" s="212">
        <f t="shared" si="75"/>
        <v>0</v>
      </c>
      <c r="N110" s="179">
        <f t="shared" si="69"/>
        <v>0</v>
      </c>
      <c r="O110" s="218"/>
      <c r="P110" s="213">
        <f t="shared" ref="P110" si="80">P49</f>
        <v>69398</v>
      </c>
      <c r="Q110" s="213"/>
      <c r="R110" s="213">
        <f>IF($C$32&gt;=P110,S110,0)</f>
        <v>0</v>
      </c>
      <c r="S110" s="212">
        <f t="shared" si="71"/>
        <v>0</v>
      </c>
      <c r="T110" s="179">
        <f t="shared" si="71"/>
        <v>0</v>
      </c>
      <c r="U110" s="218"/>
      <c r="V110" s="213">
        <f t="shared" ref="V110" si="81">V49</f>
        <v>69398</v>
      </c>
      <c r="W110" s="213"/>
      <c r="X110" s="213">
        <f>IF($D$32&gt;=V110,Y110,0)</f>
        <v>0</v>
      </c>
      <c r="Y110" s="212">
        <f t="shared" ref="Y110:Z110" si="82">Y49</f>
        <v>1342</v>
      </c>
      <c r="Z110" s="179">
        <f t="shared" si="82"/>
        <v>0</v>
      </c>
    </row>
    <row r="112" spans="9:26" x14ac:dyDescent="0.2">
      <c r="I112" s="217">
        <f ca="1">IF(Privé!D$26=Dropdowns!$B$3,SUM(L115:L119),0)</f>
        <v>0</v>
      </c>
      <c r="J112" s="515" t="s">
        <v>477</v>
      </c>
      <c r="K112" s="515"/>
      <c r="L112" s="515"/>
      <c r="M112" s="208"/>
      <c r="O112" s="217">
        <f>IF(Privé!H$26=Dropdowns!$B$3,SUM(R115:R119),0)</f>
        <v>0</v>
      </c>
      <c r="P112" s="515" t="str">
        <f>J112</f>
        <v>Arbeidskorting (2017)</v>
      </c>
      <c r="Q112" s="515"/>
      <c r="R112" s="515"/>
      <c r="S112" s="208"/>
      <c r="U112" s="217">
        <f>IF(Privé!L$26=Dropdowns!$B$3,SUM(X115:X119),0)</f>
        <v>0</v>
      </c>
      <c r="V112" s="515" t="str">
        <f>J112</f>
        <v>Arbeidskorting (2017)</v>
      </c>
      <c r="W112" s="515"/>
      <c r="X112" s="515"/>
      <c r="Y112" s="208"/>
    </row>
    <row r="113" spans="6:26" x14ac:dyDescent="0.2">
      <c r="I113" s="218"/>
      <c r="J113" s="514" t="s">
        <v>67</v>
      </c>
      <c r="K113" s="514"/>
      <c r="L113" s="211" t="s">
        <v>423</v>
      </c>
      <c r="M113" s="208"/>
      <c r="O113" s="218"/>
      <c r="P113" s="514" t="s">
        <v>67</v>
      </c>
      <c r="Q113" s="514"/>
      <c r="R113" s="211" t="s">
        <v>423</v>
      </c>
      <c r="S113" s="208"/>
      <c r="U113" s="218"/>
      <c r="V113" s="514" t="s">
        <v>67</v>
      </c>
      <c r="W113" s="514"/>
      <c r="X113" s="211" t="s">
        <v>423</v>
      </c>
      <c r="Y113" s="208"/>
    </row>
    <row r="114" spans="6:26" x14ac:dyDescent="0.2">
      <c r="I114" s="218"/>
      <c r="J114" s="227" t="s">
        <v>231</v>
      </c>
      <c r="K114" s="227" t="s">
        <v>232</v>
      </c>
      <c r="L114" s="227"/>
      <c r="M114" s="208"/>
      <c r="O114" s="218"/>
      <c r="P114" s="227" t="s">
        <v>231</v>
      </c>
      <c r="Q114" s="227" t="s">
        <v>232</v>
      </c>
      <c r="R114" s="227"/>
      <c r="S114" s="208"/>
      <c r="U114" s="218"/>
      <c r="V114" s="227" t="s">
        <v>231</v>
      </c>
      <c r="W114" s="227" t="s">
        <v>232</v>
      </c>
      <c r="X114" s="227"/>
      <c r="Y114" s="208"/>
    </row>
    <row r="115" spans="6:26" x14ac:dyDescent="0.2">
      <c r="I115" s="218"/>
      <c r="J115" s="216">
        <f t="shared" ref="J115:K115" si="83">J54</f>
        <v>0</v>
      </c>
      <c r="K115" s="216">
        <f t="shared" si="83"/>
        <v>10351</v>
      </c>
      <c r="L115" s="213">
        <f ca="1">IF(AND(J63&gt;J115,J63&lt;K115),N115*J63,0)</f>
        <v>0</v>
      </c>
      <c r="M115" s="212">
        <f>M54</f>
        <v>0</v>
      </c>
      <c r="N115" s="179">
        <f t="shared" ref="N115:N119" si="84">N54</f>
        <v>1.772E-2</v>
      </c>
      <c r="O115" s="218"/>
      <c r="P115" s="216">
        <f t="shared" ref="P115:Q115" si="85">P54</f>
        <v>0</v>
      </c>
      <c r="Q115" s="216">
        <f t="shared" si="85"/>
        <v>10351</v>
      </c>
      <c r="R115" s="213">
        <f>IF(AND(P63&gt;P115,P63&lt;Q115),T115*P63,0)</f>
        <v>0</v>
      </c>
      <c r="S115" s="212">
        <f>S54</f>
        <v>0</v>
      </c>
      <c r="T115" s="179">
        <f t="shared" ref="T115:T119" si="86">T54</f>
        <v>1.772E-2</v>
      </c>
      <c r="U115" s="218"/>
      <c r="V115" s="216">
        <f t="shared" ref="V115:W115" si="87">V54</f>
        <v>0</v>
      </c>
      <c r="W115" s="216">
        <f t="shared" si="87"/>
        <v>10351</v>
      </c>
      <c r="X115" s="213">
        <f>IF(AND(V63&gt;V115,V63&lt;W115),Z115*V63,0)</f>
        <v>0</v>
      </c>
      <c r="Y115" s="212">
        <f>Y54</f>
        <v>0</v>
      </c>
      <c r="Z115" s="179">
        <f t="shared" ref="Z115:Z119" si="88">Z54</f>
        <v>1.772E-2</v>
      </c>
    </row>
    <row r="116" spans="6:26" x14ac:dyDescent="0.2">
      <c r="I116" s="218"/>
      <c r="J116" s="213">
        <f t="shared" ref="J116:K116" si="89">J55</f>
        <v>10351</v>
      </c>
      <c r="K116" s="213">
        <f t="shared" si="89"/>
        <v>22357</v>
      </c>
      <c r="L116" s="213">
        <f ca="1">IF(AND(J63&gt;=J116,J63&lt;K116),M116+N116*(J63-J116),0)</f>
        <v>0</v>
      </c>
      <c r="M116" s="212">
        <f t="shared" ref="M116" si="90">M55</f>
        <v>165</v>
      </c>
      <c r="N116" s="179">
        <f t="shared" si="84"/>
        <v>0.28316999999999998</v>
      </c>
      <c r="O116" s="218"/>
      <c r="P116" s="213">
        <f t="shared" ref="P116:Q116" si="91">P55</f>
        <v>10351</v>
      </c>
      <c r="Q116" s="213">
        <f t="shared" si="91"/>
        <v>22357</v>
      </c>
      <c r="R116" s="213">
        <f>IF(AND(P63&gt;=P116,P63&lt;Q116),S116+T116*(P63-P116),0)</f>
        <v>0</v>
      </c>
      <c r="S116" s="212">
        <f t="shared" ref="S116" si="92">S55</f>
        <v>165</v>
      </c>
      <c r="T116" s="179">
        <f t="shared" si="86"/>
        <v>0.28316999999999998</v>
      </c>
      <c r="U116" s="218"/>
      <c r="V116" s="213">
        <f t="shared" ref="V116:W116" si="93">V55</f>
        <v>10351</v>
      </c>
      <c r="W116" s="213">
        <f t="shared" si="93"/>
        <v>22357</v>
      </c>
      <c r="X116" s="213">
        <f>IF(AND(V63&gt;=V116,V63&lt;W116),Y116+Z116*(V63-V116),0)</f>
        <v>0</v>
      </c>
      <c r="Y116" s="212">
        <f t="shared" ref="Y116" si="94">Y55</f>
        <v>165</v>
      </c>
      <c r="Z116" s="179">
        <f t="shared" si="88"/>
        <v>0.28316999999999998</v>
      </c>
    </row>
    <row r="117" spans="6:26" x14ac:dyDescent="0.2">
      <c r="I117" s="218"/>
      <c r="J117" s="213">
        <f t="shared" ref="J117:K117" si="95">J56</f>
        <v>22357</v>
      </c>
      <c r="K117" s="213">
        <f t="shared" si="95"/>
        <v>36650</v>
      </c>
      <c r="L117" s="213">
        <f ca="1">IF(AND(J63&gt;=J117,J63&lt;K117),M117,0)</f>
        <v>0</v>
      </c>
      <c r="M117" s="212">
        <f t="shared" ref="M117" si="96">M56</f>
        <v>3223</v>
      </c>
      <c r="N117" s="179">
        <f t="shared" si="84"/>
        <v>0</v>
      </c>
      <c r="O117" s="218"/>
      <c r="P117" s="213">
        <f t="shared" ref="P117:Q117" si="97">P56</f>
        <v>22357</v>
      </c>
      <c r="Q117" s="213">
        <f t="shared" si="97"/>
        <v>36650</v>
      </c>
      <c r="R117" s="213">
        <f>IF(AND(P63&gt;=P117,P63&lt;Q117),S117,0)</f>
        <v>0</v>
      </c>
      <c r="S117" s="212">
        <f t="shared" ref="S117" si="98">S56</f>
        <v>3223</v>
      </c>
      <c r="T117" s="179">
        <f t="shared" si="86"/>
        <v>0</v>
      </c>
      <c r="U117" s="218"/>
      <c r="V117" s="213">
        <f t="shared" ref="V117:W117" si="99">V56</f>
        <v>22357</v>
      </c>
      <c r="W117" s="213">
        <f t="shared" si="99"/>
        <v>36650</v>
      </c>
      <c r="X117" s="213">
        <f>IF(AND(V63&gt;=V117,V63&lt;W117),Y117,0)</f>
        <v>0</v>
      </c>
      <c r="Y117" s="212">
        <f t="shared" ref="Y117" si="100">Y56</f>
        <v>3223</v>
      </c>
      <c r="Z117" s="179">
        <f t="shared" si="88"/>
        <v>0</v>
      </c>
    </row>
    <row r="118" spans="6:26" x14ac:dyDescent="0.2">
      <c r="J118" s="213">
        <f t="shared" ref="J118:K118" si="101">J57</f>
        <v>36650</v>
      </c>
      <c r="K118" s="213">
        <f t="shared" si="101"/>
        <v>109347</v>
      </c>
      <c r="L118" s="213">
        <f ca="1">IF(AND(J63&gt;=J118,J63&lt;K118),M118-N118*(J63-J118),0)</f>
        <v>0</v>
      </c>
      <c r="M118" s="212">
        <f t="shared" ref="M118" si="102">M57</f>
        <v>3223</v>
      </c>
      <c r="N118" s="179">
        <f t="shared" si="84"/>
        <v>3.5999999999999997E-2</v>
      </c>
      <c r="P118" s="213">
        <f t="shared" ref="P118:Q118" si="103">P57</f>
        <v>36650</v>
      </c>
      <c r="Q118" s="213">
        <f t="shared" si="103"/>
        <v>109347</v>
      </c>
      <c r="R118" s="213">
        <f>IF(AND(P63&gt;=P118,P63&lt;Q118),S118-T118*(P63-P118),0)</f>
        <v>0</v>
      </c>
      <c r="S118" s="212">
        <f t="shared" ref="S118" si="104">S57</f>
        <v>3223</v>
      </c>
      <c r="T118" s="179">
        <f t="shared" si="86"/>
        <v>3.5999999999999997E-2</v>
      </c>
      <c r="V118" s="213">
        <f t="shared" ref="V118:W118" si="105">V57</f>
        <v>36650</v>
      </c>
      <c r="W118" s="213">
        <f t="shared" si="105"/>
        <v>109347</v>
      </c>
      <c r="X118" s="213">
        <f>IF(AND(V63&gt;=V118,V63&lt;W118),Y118-Z118*(V63-V118),0)</f>
        <v>0</v>
      </c>
      <c r="Y118" s="212">
        <f t="shared" ref="Y118" si="106">Y57</f>
        <v>3223</v>
      </c>
      <c r="Z118" s="179">
        <f t="shared" si="88"/>
        <v>3.5999999999999997E-2</v>
      </c>
    </row>
    <row r="119" spans="6:26" x14ac:dyDescent="0.2">
      <c r="J119" s="213">
        <f t="shared" ref="J119" si="107">J58</f>
        <v>109347</v>
      </c>
      <c r="K119" s="213"/>
      <c r="L119" s="213">
        <f ca="1">IF(J63&gt;=J119,M119,0)</f>
        <v>0</v>
      </c>
      <c r="M119" s="212">
        <f t="shared" ref="M119" si="108">M58</f>
        <v>0</v>
      </c>
      <c r="N119" s="179">
        <f t="shared" si="84"/>
        <v>0</v>
      </c>
      <c r="P119" s="213">
        <f t="shared" ref="P119" si="109">P58</f>
        <v>109347</v>
      </c>
      <c r="Q119" s="213"/>
      <c r="R119" s="213">
        <f>IF(P63&gt;=P119,S119,0)</f>
        <v>0</v>
      </c>
      <c r="S119" s="212">
        <f t="shared" ref="S119" si="110">S58</f>
        <v>0</v>
      </c>
      <c r="T119" s="179">
        <f t="shared" si="86"/>
        <v>0</v>
      </c>
      <c r="V119" s="213">
        <f t="shared" ref="V119" si="111">V58</f>
        <v>109347</v>
      </c>
      <c r="W119" s="213"/>
      <c r="X119" s="213">
        <f>IF(V63&gt;=V119,Y119,0)</f>
        <v>0</v>
      </c>
      <c r="Y119" s="212">
        <f t="shared" ref="Y119" si="112">Y58</f>
        <v>0</v>
      </c>
      <c r="Z119" s="179">
        <f t="shared" si="88"/>
        <v>0</v>
      </c>
    </row>
    <row r="122" spans="6:26" x14ac:dyDescent="0.2">
      <c r="F122" s="206" t="s">
        <v>414</v>
      </c>
      <c r="G122" s="219" t="str">
        <f>D11</f>
        <v>Ondernemer:</v>
      </c>
      <c r="K122" s="184"/>
      <c r="L122" s="184"/>
      <c r="M122" s="184"/>
      <c r="Q122" s="184"/>
      <c r="R122" s="184"/>
      <c r="S122" s="184"/>
      <c r="W122" s="184"/>
      <c r="X122" s="184"/>
      <c r="Y122" s="184"/>
    </row>
    <row r="123" spans="6:26" x14ac:dyDescent="0.2">
      <c r="F123" s="207" t="s">
        <v>227</v>
      </c>
      <c r="G123" s="220">
        <f ca="1">Exploitatie!H25</f>
        <v>0</v>
      </c>
      <c r="I123" s="207" t="s">
        <v>456</v>
      </c>
      <c r="J123" s="220">
        <f ca="1">IF(Privé!$D$7="B.V.",0,IF($J$1="Ondernemer:",G123,G123*Privé!D$15))</f>
        <v>0</v>
      </c>
      <c r="K123" s="208"/>
      <c r="L123" s="208"/>
      <c r="M123" s="208"/>
      <c r="O123" s="207" t="s">
        <v>456</v>
      </c>
      <c r="P123" s="220">
        <f>IF(Privé!$D$7="B.V.",0,IF($P$1="2e ondernemer:",G123*Privé!H$15,0))</f>
        <v>0</v>
      </c>
      <c r="Q123" s="208"/>
      <c r="R123" s="208"/>
      <c r="S123" s="208"/>
      <c r="U123" s="207" t="s">
        <v>456</v>
      </c>
      <c r="V123" s="220">
        <f>IF(Privé!$D$7="B.V.",0,IF($V$1="3e ondernemer:",G123*Privé!L$15,0))</f>
        <v>0</v>
      </c>
      <c r="W123" s="208"/>
      <c r="X123" s="208"/>
      <c r="Y123" s="208"/>
    </row>
    <row r="124" spans="6:26" x14ac:dyDescent="0.2">
      <c r="F124" s="207" t="s">
        <v>228</v>
      </c>
      <c r="G124" s="220">
        <f>Exploitatie!H47</f>
        <v>20000</v>
      </c>
      <c r="I124" s="207" t="s">
        <v>457</v>
      </c>
      <c r="J124" s="220">
        <f>IF(Privé!$D$7="B.V.",0,IF($J$1="Ondernemer:",G124,G124*Privé!D$15))</f>
        <v>20000</v>
      </c>
      <c r="L124" s="208"/>
      <c r="M124" s="208"/>
      <c r="O124" s="207" t="s">
        <v>457</v>
      </c>
      <c r="P124" s="220">
        <f>IF(Privé!$D$7="B.V.",0,IF($P$1="2e ondernemer:",G124*Privé!H$15,0))</f>
        <v>0</v>
      </c>
      <c r="R124" s="208"/>
      <c r="S124" s="208"/>
      <c r="U124" s="207" t="s">
        <v>457</v>
      </c>
      <c r="V124" s="220">
        <f>IF(Privé!$D$7="B.V.",0,IF($V$1="3e ondernemer:",G124*Privé!L$15,0))</f>
        <v>0</v>
      </c>
      <c r="X124" s="208"/>
      <c r="Y124" s="208"/>
    </row>
    <row r="125" spans="6:26" x14ac:dyDescent="0.2">
      <c r="F125" s="208" t="s">
        <v>229</v>
      </c>
      <c r="I125" s="207" t="s">
        <v>241</v>
      </c>
      <c r="J125" s="220">
        <f ca="1">IB!I127+IB!I132+IB!I137+IB!I146+IB!I157+IB!I162</f>
        <v>5600.0000000000009</v>
      </c>
      <c r="L125" s="208"/>
      <c r="M125" s="208"/>
      <c r="O125" s="207" t="s">
        <v>241</v>
      </c>
      <c r="P125" s="220">
        <f>IB!O127+IB!O132+IB!O137+IB!O146+IB!O157+IB!O162</f>
        <v>0</v>
      </c>
      <c r="R125" s="208"/>
      <c r="S125" s="208"/>
      <c r="U125" s="207" t="s">
        <v>241</v>
      </c>
      <c r="V125" s="220">
        <f>IB!U127+IB!U132+IB!U137+IB!U146+IB!U157+IB!U162</f>
        <v>0</v>
      </c>
      <c r="X125" s="208"/>
      <c r="Y125" s="208"/>
    </row>
    <row r="126" spans="6:26" x14ac:dyDescent="0.2">
      <c r="I126" s="184"/>
      <c r="J126" s="209"/>
      <c r="K126" s="208"/>
      <c r="L126" s="208"/>
      <c r="M126" s="208"/>
      <c r="O126" s="184"/>
      <c r="P126" s="209"/>
      <c r="Q126" s="208"/>
      <c r="R126" s="208"/>
      <c r="S126" s="208"/>
      <c r="U126" s="184"/>
      <c r="V126" s="209"/>
      <c r="W126" s="208"/>
      <c r="X126" s="208"/>
      <c r="Y126" s="208"/>
    </row>
    <row r="127" spans="6:26" x14ac:dyDescent="0.2">
      <c r="I127" s="217">
        <f ca="1">IF(J123&lt;=0,0,IF(Privé!D$18=Dropdowns!$B$3,L130,0))</f>
        <v>0</v>
      </c>
      <c r="J127" s="515" t="s">
        <v>471</v>
      </c>
      <c r="K127" s="515"/>
      <c r="L127" s="515"/>
      <c r="M127" s="208"/>
      <c r="O127" s="217">
        <f>IF(P123&lt;=0,0,IF(Privé!H$18=Dropdowns!$B$3,R130,0))</f>
        <v>0</v>
      </c>
      <c r="P127" s="515" t="str">
        <f>J127</f>
        <v>Zelfstandigenaftrek (2017)</v>
      </c>
      <c r="Q127" s="515"/>
      <c r="R127" s="515"/>
      <c r="S127" s="208"/>
      <c r="U127" s="217">
        <f>IF(V123&lt;=0,0,IF(Privé!L$18=Dropdowns!$B$3,X130,0))</f>
        <v>0</v>
      </c>
      <c r="V127" s="515" t="str">
        <f>J127</f>
        <v>Zelfstandigenaftrek (2017)</v>
      </c>
      <c r="W127" s="515"/>
      <c r="X127" s="515"/>
      <c r="Y127" s="208"/>
    </row>
    <row r="128" spans="6:26" x14ac:dyDescent="0.2">
      <c r="I128" s="218"/>
      <c r="J128" s="514" t="s">
        <v>227</v>
      </c>
      <c r="K128" s="514"/>
      <c r="L128" s="211" t="s">
        <v>230</v>
      </c>
      <c r="M128" s="208"/>
      <c r="O128" s="218"/>
      <c r="P128" s="514" t="s">
        <v>227</v>
      </c>
      <c r="Q128" s="514"/>
      <c r="R128" s="211" t="s">
        <v>230</v>
      </c>
      <c r="S128" s="208"/>
      <c r="U128" s="218"/>
      <c r="V128" s="514" t="s">
        <v>227</v>
      </c>
      <c r="W128" s="514"/>
      <c r="X128" s="211" t="s">
        <v>230</v>
      </c>
      <c r="Y128" s="208"/>
    </row>
    <row r="129" spans="9:25" x14ac:dyDescent="0.2">
      <c r="I129" s="218"/>
      <c r="J129" s="227" t="s">
        <v>231</v>
      </c>
      <c r="K129" s="227" t="s">
        <v>232</v>
      </c>
      <c r="L129" s="227"/>
      <c r="M129" s="208"/>
      <c r="O129" s="218"/>
      <c r="P129" s="227" t="s">
        <v>231</v>
      </c>
      <c r="Q129" s="227" t="s">
        <v>232</v>
      </c>
      <c r="R129" s="227"/>
      <c r="S129" s="208"/>
      <c r="U129" s="218"/>
      <c r="V129" s="227" t="s">
        <v>231</v>
      </c>
      <c r="W129" s="227" t="s">
        <v>232</v>
      </c>
      <c r="X129" s="227"/>
      <c r="Y129" s="208"/>
    </row>
    <row r="130" spans="9:25" x14ac:dyDescent="0.2">
      <c r="I130" s="218"/>
      <c r="J130" s="213">
        <f>J70</f>
        <v>0</v>
      </c>
      <c r="K130" s="213"/>
      <c r="L130" s="213">
        <f>L70</f>
        <v>7280</v>
      </c>
      <c r="M130" s="212"/>
      <c r="O130" s="218"/>
      <c r="P130" s="213">
        <f>P70</f>
        <v>0</v>
      </c>
      <c r="Q130" s="213"/>
      <c r="R130" s="213">
        <f>R70</f>
        <v>6310</v>
      </c>
      <c r="S130" s="212"/>
      <c r="U130" s="218"/>
      <c r="V130" s="213">
        <f>V70</f>
        <v>0</v>
      </c>
      <c r="W130" s="213"/>
      <c r="X130" s="213">
        <f>X70</f>
        <v>6310</v>
      </c>
      <c r="Y130" s="212"/>
    </row>
    <row r="131" spans="9:25" x14ac:dyDescent="0.2">
      <c r="I131" s="218"/>
      <c r="J131" s="208"/>
      <c r="K131" s="208"/>
      <c r="L131" s="208"/>
      <c r="M131" s="208"/>
      <c r="O131" s="218"/>
      <c r="P131" s="208"/>
      <c r="Q131" s="208"/>
      <c r="R131" s="208"/>
      <c r="S131" s="208"/>
      <c r="U131" s="218"/>
      <c r="V131" s="208"/>
      <c r="W131" s="208"/>
      <c r="X131" s="208"/>
      <c r="Y131" s="208"/>
    </row>
    <row r="132" spans="9:25" x14ac:dyDescent="0.2">
      <c r="I132" s="217">
        <f ca="1">IF(J123&lt;=0,0,IF(Privé!D$19=Dropdowns!$B$3,L135,0))</f>
        <v>0</v>
      </c>
      <c r="J132" s="515" t="s">
        <v>478</v>
      </c>
      <c r="K132" s="515"/>
      <c r="L132" s="515"/>
      <c r="M132" s="208"/>
      <c r="O132" s="217">
        <f>IF(P123&lt;=0,0,IF(Privé!H$19=Dropdowns!$B$3,R135,0))</f>
        <v>0</v>
      </c>
      <c r="P132" s="515" t="str">
        <f>J132</f>
        <v>Startersaftrek (2017)</v>
      </c>
      <c r="Q132" s="515"/>
      <c r="R132" s="515"/>
      <c r="S132" s="208"/>
      <c r="U132" s="217">
        <f>IF(V123&lt;=0,0,IF(Privé!L$19=Dropdowns!$B$3,X135,0))</f>
        <v>0</v>
      </c>
      <c r="V132" s="515" t="str">
        <f>J132</f>
        <v>Startersaftrek (2017)</v>
      </c>
      <c r="W132" s="515"/>
      <c r="X132" s="515"/>
      <c r="Y132" s="208"/>
    </row>
    <row r="133" spans="9:25" x14ac:dyDescent="0.2">
      <c r="I133" s="218"/>
      <c r="J133" s="514" t="s">
        <v>227</v>
      </c>
      <c r="K133" s="514"/>
      <c r="L133" s="211" t="s">
        <v>230</v>
      </c>
      <c r="M133" s="208"/>
      <c r="O133" s="218"/>
      <c r="P133" s="514" t="s">
        <v>227</v>
      </c>
      <c r="Q133" s="514"/>
      <c r="R133" s="211" t="s">
        <v>230</v>
      </c>
      <c r="S133" s="208"/>
      <c r="U133" s="218"/>
      <c r="V133" s="514" t="s">
        <v>227</v>
      </c>
      <c r="W133" s="514"/>
      <c r="X133" s="211" t="s">
        <v>230</v>
      </c>
      <c r="Y133" s="208"/>
    </row>
    <row r="134" spans="9:25" x14ac:dyDescent="0.2">
      <c r="I134" s="218"/>
      <c r="J134" s="227" t="s">
        <v>231</v>
      </c>
      <c r="K134" s="227" t="s">
        <v>232</v>
      </c>
      <c r="L134" s="227"/>
      <c r="M134" s="208"/>
      <c r="O134" s="218"/>
      <c r="P134" s="227" t="s">
        <v>231</v>
      </c>
      <c r="Q134" s="227" t="s">
        <v>232</v>
      </c>
      <c r="R134" s="227"/>
      <c r="S134" s="208"/>
      <c r="U134" s="218"/>
      <c r="V134" s="227" t="s">
        <v>231</v>
      </c>
      <c r="W134" s="227" t="s">
        <v>232</v>
      </c>
      <c r="X134" s="227"/>
      <c r="Y134" s="208"/>
    </row>
    <row r="135" spans="9:25" x14ac:dyDescent="0.2">
      <c r="I135" s="218"/>
      <c r="J135" s="213">
        <f>J75</f>
        <v>0</v>
      </c>
      <c r="K135" s="213"/>
      <c r="L135" s="213">
        <f>L75</f>
        <v>2123</v>
      </c>
      <c r="M135" s="208"/>
      <c r="O135" s="218"/>
      <c r="P135" s="213">
        <f>P75</f>
        <v>0</v>
      </c>
      <c r="Q135" s="213"/>
      <c r="R135" s="213">
        <f>R75</f>
        <v>2123</v>
      </c>
      <c r="S135" s="208"/>
      <c r="U135" s="218"/>
      <c r="V135" s="213">
        <f>V75</f>
        <v>0</v>
      </c>
      <c r="W135" s="213"/>
      <c r="X135" s="213">
        <f>X75</f>
        <v>2123</v>
      </c>
      <c r="Y135" s="208"/>
    </row>
    <row r="136" spans="9:25" x14ac:dyDescent="0.2">
      <c r="I136" s="218"/>
      <c r="J136" s="208"/>
      <c r="K136" s="208"/>
      <c r="L136" s="208"/>
      <c r="M136" s="208"/>
      <c r="O136" s="218"/>
      <c r="P136" s="208"/>
      <c r="Q136" s="208"/>
      <c r="R136" s="208"/>
      <c r="S136" s="208"/>
      <c r="U136" s="218"/>
      <c r="V136" s="208"/>
      <c r="W136" s="208"/>
      <c r="X136" s="208"/>
      <c r="Y136" s="208"/>
    </row>
    <row r="137" spans="9:25" x14ac:dyDescent="0.2">
      <c r="I137" s="217">
        <f ca="1">IF(J123&lt;=0,0,IF(OR(Privé!D$20=Dropdowns!$N$2,Privé!D$20=Dropdowns!$N$3),0,SUM(M140:M144)))</f>
        <v>0</v>
      </c>
      <c r="J137" s="515" t="s">
        <v>472</v>
      </c>
      <c r="K137" s="515"/>
      <c r="L137" s="515"/>
      <c r="M137" s="208"/>
      <c r="O137" s="217">
        <f>IF(P123&lt;=0,0,IF(OR(Privé!H$20=Dropdowns!$N$2,Privé!H$20=Dropdowns!$N$3),0,SUM(S140:S144)))</f>
        <v>0</v>
      </c>
      <c r="P137" s="515" t="str">
        <f>J137</f>
        <v>Meewerkaftrek (2017)</v>
      </c>
      <c r="Q137" s="515"/>
      <c r="R137" s="515"/>
      <c r="S137" s="208"/>
      <c r="U137" s="217">
        <f>IF(V123&lt;=0,0,IF(OR(Privé!L$20=Dropdowns!$N$2,Privé!L$20=Dropdowns!$N$3),0,SUM(Y140:Y144)))</f>
        <v>0</v>
      </c>
      <c r="V137" s="515" t="str">
        <f>J137</f>
        <v>Meewerkaftrek (2017)</v>
      </c>
      <c r="W137" s="515"/>
      <c r="X137" s="515"/>
      <c r="Y137" s="208"/>
    </row>
    <row r="138" spans="9:25" x14ac:dyDescent="0.2">
      <c r="I138" s="218"/>
      <c r="J138" s="514" t="s">
        <v>233</v>
      </c>
      <c r="K138" s="514"/>
      <c r="L138" s="211" t="s">
        <v>230</v>
      </c>
      <c r="M138" s="208"/>
      <c r="O138" s="218"/>
      <c r="P138" s="514" t="s">
        <v>233</v>
      </c>
      <c r="Q138" s="514"/>
      <c r="R138" s="211" t="s">
        <v>230</v>
      </c>
      <c r="S138" s="208"/>
      <c r="U138" s="218"/>
      <c r="V138" s="514" t="s">
        <v>233</v>
      </c>
      <c r="W138" s="514"/>
      <c r="X138" s="211" t="s">
        <v>230</v>
      </c>
      <c r="Y138" s="208"/>
    </row>
    <row r="139" spans="9:25" x14ac:dyDescent="0.2">
      <c r="I139" s="218"/>
      <c r="J139" s="227" t="s">
        <v>231</v>
      </c>
      <c r="K139" s="227" t="s">
        <v>232</v>
      </c>
      <c r="L139" s="227"/>
      <c r="M139" s="208"/>
      <c r="O139" s="218"/>
      <c r="P139" s="227" t="s">
        <v>231</v>
      </c>
      <c r="Q139" s="227" t="s">
        <v>232</v>
      </c>
      <c r="R139" s="227"/>
      <c r="S139" s="208"/>
      <c r="U139" s="218"/>
      <c r="V139" s="227" t="s">
        <v>231</v>
      </c>
      <c r="W139" s="227" t="s">
        <v>232</v>
      </c>
      <c r="X139" s="227"/>
      <c r="Y139" s="208"/>
    </row>
    <row r="140" spans="9:25" x14ac:dyDescent="0.2">
      <c r="I140" s="218"/>
      <c r="J140" s="214">
        <f t="shared" ref="J140:L140" si="113">J80</f>
        <v>0</v>
      </c>
      <c r="K140" s="214">
        <f t="shared" si="113"/>
        <v>525</v>
      </c>
      <c r="L140" s="215">
        <f t="shared" si="113"/>
        <v>0</v>
      </c>
      <c r="M140" s="212">
        <f>IF(Privé!D$20=Dropdowns!$N$4,IB!J123*IB!L140,0)</f>
        <v>0</v>
      </c>
      <c r="O140" s="218"/>
      <c r="P140" s="214">
        <f t="shared" ref="P140:R140" si="114">P80</f>
        <v>0</v>
      </c>
      <c r="Q140" s="214">
        <f t="shared" si="114"/>
        <v>525</v>
      </c>
      <c r="R140" s="215">
        <f t="shared" si="114"/>
        <v>0</v>
      </c>
      <c r="S140" s="212">
        <f>IF(Privé!H$20=Dropdowns!$N$4,IB!P123*IB!R140,0)</f>
        <v>0</v>
      </c>
      <c r="U140" s="218"/>
      <c r="V140" s="214">
        <f t="shared" ref="V140:X140" si="115">V80</f>
        <v>0</v>
      </c>
      <c r="W140" s="214">
        <f t="shared" si="115"/>
        <v>525</v>
      </c>
      <c r="X140" s="215">
        <f t="shared" si="115"/>
        <v>0</v>
      </c>
      <c r="Y140" s="212">
        <f>IF(Privé!L$20=Dropdowns!$N$4,IB!V123*IB!X140,0)</f>
        <v>0</v>
      </c>
    </row>
    <row r="141" spans="9:25" x14ac:dyDescent="0.2">
      <c r="I141" s="218"/>
      <c r="J141" s="214">
        <f t="shared" ref="J141:L141" si="116">J81</f>
        <v>525</v>
      </c>
      <c r="K141" s="214">
        <f t="shared" si="116"/>
        <v>875</v>
      </c>
      <c r="L141" s="215">
        <f t="shared" si="116"/>
        <v>1.2500000000000001E-2</v>
      </c>
      <c r="M141" s="212">
        <f>IF(Privé!D$20=Dropdowns!$N$5,IB!J123*IB!L141,0)</f>
        <v>0</v>
      </c>
      <c r="O141" s="218"/>
      <c r="P141" s="214">
        <f t="shared" ref="P141:R141" si="117">P81</f>
        <v>525</v>
      </c>
      <c r="Q141" s="214">
        <f t="shared" si="117"/>
        <v>875</v>
      </c>
      <c r="R141" s="215">
        <f t="shared" si="117"/>
        <v>1.2500000000000001E-2</v>
      </c>
      <c r="S141" s="212">
        <f>IF(Privé!H$20=Dropdowns!$N$5,IB!P123*IB!R141,0)</f>
        <v>0</v>
      </c>
      <c r="U141" s="218"/>
      <c r="V141" s="214">
        <f t="shared" ref="V141:X141" si="118">V81</f>
        <v>525</v>
      </c>
      <c r="W141" s="214">
        <f t="shared" si="118"/>
        <v>875</v>
      </c>
      <c r="X141" s="215">
        <f t="shared" si="118"/>
        <v>1.2500000000000001E-2</v>
      </c>
      <c r="Y141" s="212">
        <f>IF(Privé!L$20=Dropdowns!$N$5,IB!V123*IB!X141,0)</f>
        <v>0</v>
      </c>
    </row>
    <row r="142" spans="9:25" x14ac:dyDescent="0.2">
      <c r="I142" s="218"/>
      <c r="J142" s="214">
        <f t="shared" ref="J142:L142" si="119">J82</f>
        <v>875</v>
      </c>
      <c r="K142" s="214">
        <f t="shared" si="119"/>
        <v>1225</v>
      </c>
      <c r="L142" s="215">
        <f t="shared" si="119"/>
        <v>0.02</v>
      </c>
      <c r="M142" s="212">
        <f>IF(Privé!D$20=Dropdowns!$N$6,IB!J123*IB!L142,0)</f>
        <v>0</v>
      </c>
      <c r="O142" s="218"/>
      <c r="P142" s="214">
        <f t="shared" ref="P142:R142" si="120">P82</f>
        <v>875</v>
      </c>
      <c r="Q142" s="214">
        <f t="shared" si="120"/>
        <v>1225</v>
      </c>
      <c r="R142" s="215">
        <f t="shared" si="120"/>
        <v>0.02</v>
      </c>
      <c r="S142" s="212">
        <f>IF(Privé!H$20=Dropdowns!$N$6,IB!P123*IB!R142,0)</f>
        <v>0</v>
      </c>
      <c r="U142" s="218"/>
      <c r="V142" s="214">
        <f t="shared" ref="V142:X142" si="121">V82</f>
        <v>875</v>
      </c>
      <c r="W142" s="214">
        <f t="shared" si="121"/>
        <v>1225</v>
      </c>
      <c r="X142" s="215">
        <f t="shared" si="121"/>
        <v>0.02</v>
      </c>
      <c r="Y142" s="212">
        <f>IF(Privé!L$20=Dropdowns!$N$6,IB!V123*IB!X142,0)</f>
        <v>0</v>
      </c>
    </row>
    <row r="143" spans="9:25" x14ac:dyDescent="0.2">
      <c r="I143" s="218"/>
      <c r="J143" s="214">
        <f t="shared" ref="J143:L143" si="122">J83</f>
        <v>1225</v>
      </c>
      <c r="K143" s="214">
        <f t="shared" si="122"/>
        <v>1750</v>
      </c>
      <c r="L143" s="215">
        <f t="shared" si="122"/>
        <v>0.03</v>
      </c>
      <c r="M143" s="212">
        <f>IF(Privé!D$20=Dropdowns!$N$7,IB!J123*IB!L143,0)</f>
        <v>0</v>
      </c>
      <c r="O143" s="218"/>
      <c r="P143" s="214">
        <f t="shared" ref="P143:R143" si="123">P83</f>
        <v>1225</v>
      </c>
      <c r="Q143" s="214">
        <f t="shared" si="123"/>
        <v>1750</v>
      </c>
      <c r="R143" s="215">
        <f t="shared" si="123"/>
        <v>0.03</v>
      </c>
      <c r="S143" s="212">
        <f>IF(Privé!H$20=Dropdowns!$N$7,IB!P123*IB!R143,0)</f>
        <v>0</v>
      </c>
      <c r="U143" s="218"/>
      <c r="V143" s="214">
        <f t="shared" ref="V143:X143" si="124">V83</f>
        <v>1225</v>
      </c>
      <c r="W143" s="214">
        <f t="shared" si="124"/>
        <v>1750</v>
      </c>
      <c r="X143" s="215">
        <f t="shared" si="124"/>
        <v>0.03</v>
      </c>
      <c r="Y143" s="212">
        <f>IF(Privé!L$20=Dropdowns!$N$7,IB!V123*IB!X143,0)</f>
        <v>0</v>
      </c>
    </row>
    <row r="144" spans="9:25" x14ac:dyDescent="0.2">
      <c r="I144" s="218"/>
      <c r="J144" s="214">
        <f t="shared" ref="J144:L144" si="125">J84</f>
        <v>1750</v>
      </c>
      <c r="K144" s="214"/>
      <c r="L144" s="215">
        <f t="shared" si="125"/>
        <v>0.04</v>
      </c>
      <c r="M144" s="212">
        <f>IF(Privé!D$20=Dropdowns!$N$8,IB!J123*IB!L144,0)</f>
        <v>0</v>
      </c>
      <c r="O144" s="218"/>
      <c r="P144" s="214">
        <f t="shared" ref="P144:R144" si="126">P84</f>
        <v>1750</v>
      </c>
      <c r="Q144" s="214"/>
      <c r="R144" s="215">
        <f t="shared" si="126"/>
        <v>0.04</v>
      </c>
      <c r="S144" s="212">
        <f>IF(Privé!H$20=Dropdowns!$N$8,IB!P123*IB!R144,0)</f>
        <v>0</v>
      </c>
      <c r="U144" s="218"/>
      <c r="V144" s="214">
        <f t="shared" ref="V144:X144" si="127">V84</f>
        <v>1750</v>
      </c>
      <c r="W144" s="214"/>
      <c r="X144" s="215">
        <f t="shared" si="127"/>
        <v>0.04</v>
      </c>
      <c r="Y144" s="212">
        <f>IF(Privé!L$20=Dropdowns!$N$8,IB!V123*IB!X144,0)</f>
        <v>0</v>
      </c>
    </row>
    <row r="145" spans="9:25" x14ac:dyDescent="0.2">
      <c r="I145" s="218"/>
      <c r="J145" s="208"/>
      <c r="K145" s="208"/>
      <c r="L145" s="208"/>
      <c r="M145" s="208"/>
      <c r="O145" s="218"/>
      <c r="P145" s="208"/>
      <c r="Q145" s="208"/>
      <c r="R145" s="208"/>
      <c r="S145" s="208"/>
      <c r="U145" s="218"/>
      <c r="V145" s="208"/>
      <c r="W145" s="208"/>
      <c r="X145" s="208"/>
      <c r="Y145" s="208"/>
    </row>
    <row r="146" spans="9:25" x14ac:dyDescent="0.2">
      <c r="I146" s="217">
        <f>IF(J124&lt;=0,0,IF(OR(Privé!D$21=Dropdowns!$B$2,Privé!D$21=Dropdowns!$B$4),0,SUM(M149:M153)))</f>
        <v>5600.0000000000009</v>
      </c>
      <c r="J146" s="515" t="s">
        <v>473</v>
      </c>
      <c r="K146" s="515"/>
      <c r="L146" s="515"/>
      <c r="M146" s="208"/>
      <c r="O146" s="217">
        <f>IF(P124&lt;=0,0,IF(OR(Privé!H$21=Dropdowns!$B$2,Privé!H$21=Dropdowns!$B$4),0,SUM(S149:S153)))</f>
        <v>0</v>
      </c>
      <c r="P146" s="515" t="str">
        <f>J146</f>
        <v>Investeringsaftrek (2017)</v>
      </c>
      <c r="Q146" s="515"/>
      <c r="R146" s="515"/>
      <c r="S146" s="208"/>
      <c r="U146" s="217">
        <f>IF(V124&lt;=0,0,IF(OR(Privé!L$21=Dropdowns!$B$2,Privé!L$21=Dropdowns!$B$4),0,SUM(Y149:Y153)))</f>
        <v>0</v>
      </c>
      <c r="V146" s="515" t="str">
        <f>J146</f>
        <v>Investeringsaftrek (2017)</v>
      </c>
      <c r="W146" s="515"/>
      <c r="X146" s="515"/>
      <c r="Y146" s="208"/>
    </row>
    <row r="147" spans="9:25" x14ac:dyDescent="0.2">
      <c r="I147" s="218"/>
      <c r="J147" s="514" t="s">
        <v>234</v>
      </c>
      <c r="K147" s="514"/>
      <c r="L147" s="211" t="s">
        <v>230</v>
      </c>
      <c r="M147" s="208"/>
      <c r="O147" s="218"/>
      <c r="P147" s="514" t="s">
        <v>234</v>
      </c>
      <c r="Q147" s="514"/>
      <c r="R147" s="211" t="s">
        <v>230</v>
      </c>
      <c r="S147" s="208"/>
      <c r="U147" s="218"/>
      <c r="V147" s="514" t="s">
        <v>234</v>
      </c>
      <c r="W147" s="514"/>
      <c r="X147" s="211" t="s">
        <v>230</v>
      </c>
      <c r="Y147" s="208"/>
    </row>
    <row r="148" spans="9:25" x14ac:dyDescent="0.2">
      <c r="I148" s="218"/>
      <c r="J148" s="227" t="s">
        <v>231</v>
      </c>
      <c r="K148" s="227" t="s">
        <v>232</v>
      </c>
      <c r="L148" s="227"/>
      <c r="M148" s="208"/>
      <c r="O148" s="218"/>
      <c r="P148" s="227" t="s">
        <v>231</v>
      </c>
      <c r="Q148" s="227" t="s">
        <v>232</v>
      </c>
      <c r="R148" s="227"/>
      <c r="S148" s="208"/>
      <c r="U148" s="218"/>
      <c r="V148" s="227" t="s">
        <v>231</v>
      </c>
      <c r="W148" s="227" t="s">
        <v>232</v>
      </c>
      <c r="X148" s="227"/>
      <c r="Y148" s="208"/>
    </row>
    <row r="149" spans="9:25" x14ac:dyDescent="0.2">
      <c r="I149" s="218"/>
      <c r="J149" s="216">
        <f t="shared" ref="J149:L149" si="128">J89</f>
        <v>0</v>
      </c>
      <c r="K149" s="216">
        <f t="shared" si="128"/>
        <v>2401</v>
      </c>
      <c r="L149" s="215">
        <f t="shared" si="128"/>
        <v>0</v>
      </c>
      <c r="M149" s="212">
        <f>IF(AND(J124&gt;=J149,J124&lt;K149),L149*J124,0)</f>
        <v>0</v>
      </c>
      <c r="O149" s="218"/>
      <c r="P149" s="216">
        <f t="shared" ref="P149:R149" si="129">P89</f>
        <v>0</v>
      </c>
      <c r="Q149" s="216">
        <f t="shared" si="129"/>
        <v>2401</v>
      </c>
      <c r="R149" s="215">
        <f t="shared" si="129"/>
        <v>0</v>
      </c>
      <c r="S149" s="212">
        <f>IF(AND(P124&gt;=P149,P124&lt;Q149),R149*P124,0)</f>
        <v>0</v>
      </c>
      <c r="U149" s="218"/>
      <c r="V149" s="216">
        <f t="shared" ref="V149:X149" si="130">V89</f>
        <v>0</v>
      </c>
      <c r="W149" s="216">
        <f t="shared" si="130"/>
        <v>2401</v>
      </c>
      <c r="X149" s="215">
        <f t="shared" si="130"/>
        <v>0</v>
      </c>
      <c r="Y149" s="212">
        <f>IF(AND(V124&gt;=V149,V124&lt;W149),X149*V124,0)</f>
        <v>0</v>
      </c>
    </row>
    <row r="150" spans="9:25" x14ac:dyDescent="0.2">
      <c r="I150" s="218"/>
      <c r="J150" s="213">
        <f t="shared" ref="J150:L150" si="131">J90</f>
        <v>2401</v>
      </c>
      <c r="K150" s="213">
        <f t="shared" si="131"/>
        <v>59940</v>
      </c>
      <c r="L150" s="215">
        <f t="shared" si="131"/>
        <v>0.28000000000000003</v>
      </c>
      <c r="M150" s="212">
        <f>IF(AND(J124&gt;=J150,J124&lt;K150),L150*J124,0)</f>
        <v>5600.0000000000009</v>
      </c>
      <c r="O150" s="218"/>
      <c r="P150" s="213">
        <f t="shared" ref="P150:R150" si="132">P90</f>
        <v>2401</v>
      </c>
      <c r="Q150" s="213">
        <f t="shared" si="132"/>
        <v>59940</v>
      </c>
      <c r="R150" s="215">
        <f t="shared" si="132"/>
        <v>0.28000000000000003</v>
      </c>
      <c r="S150" s="212">
        <f>IF(AND(P124&gt;=P150,P124&lt;Q150),R150*P124,0)</f>
        <v>0</v>
      </c>
      <c r="U150" s="218"/>
      <c r="V150" s="213">
        <f t="shared" ref="V150:X150" si="133">V90</f>
        <v>2401</v>
      </c>
      <c r="W150" s="213">
        <f t="shared" si="133"/>
        <v>59940</v>
      </c>
      <c r="X150" s="215">
        <f t="shared" si="133"/>
        <v>0.28000000000000003</v>
      </c>
      <c r="Y150" s="212">
        <f>IF(AND(V124&gt;=V150,V124&lt;W150),X150*V124,0)</f>
        <v>0</v>
      </c>
    </row>
    <row r="151" spans="9:25" x14ac:dyDescent="0.2">
      <c r="I151" s="218"/>
      <c r="J151" s="213">
        <f t="shared" ref="J151:L151" si="134">J91</f>
        <v>59940</v>
      </c>
      <c r="K151" s="213">
        <f t="shared" si="134"/>
        <v>110999</v>
      </c>
      <c r="L151" s="213">
        <f t="shared" si="134"/>
        <v>16784</v>
      </c>
      <c r="M151" s="212">
        <f>IF(AND(J124&gt;=J151,J124&lt;K151),L151,0)</f>
        <v>0</v>
      </c>
      <c r="O151" s="218"/>
      <c r="P151" s="213">
        <f t="shared" ref="P151:R151" si="135">P91</f>
        <v>59940</v>
      </c>
      <c r="Q151" s="213">
        <f t="shared" si="135"/>
        <v>110999</v>
      </c>
      <c r="R151" s="213">
        <f t="shared" si="135"/>
        <v>16784</v>
      </c>
      <c r="S151" s="212">
        <f>IF(AND(P124&gt;=P151,P124&lt;Q151),R151,0)</f>
        <v>0</v>
      </c>
      <c r="U151" s="218"/>
      <c r="V151" s="213">
        <f t="shared" ref="V151:X151" si="136">V91</f>
        <v>59940</v>
      </c>
      <c r="W151" s="213">
        <f t="shared" si="136"/>
        <v>110999</v>
      </c>
      <c r="X151" s="213">
        <f t="shared" si="136"/>
        <v>16784</v>
      </c>
      <c r="Y151" s="212">
        <f>IF(AND(V124&gt;=V151,V124&lt;W151),X151,0)</f>
        <v>0</v>
      </c>
    </row>
    <row r="152" spans="9:25" x14ac:dyDescent="0.2">
      <c r="I152" s="218"/>
      <c r="J152" s="213">
        <f t="shared" ref="J152:L152" si="137">J92</f>
        <v>110999</v>
      </c>
      <c r="K152" s="213">
        <f t="shared" si="137"/>
        <v>332995</v>
      </c>
      <c r="L152" s="215">
        <f t="shared" si="137"/>
        <v>7.5600000000000001E-2</v>
      </c>
      <c r="M152" s="212">
        <f>IF(AND(J124&gt;=J152,J124&lt;K152),L151-((J124-100000)*L152),0)</f>
        <v>0</v>
      </c>
      <c r="O152" s="218"/>
      <c r="P152" s="213">
        <f t="shared" ref="P152:R152" si="138">P92</f>
        <v>110999</v>
      </c>
      <c r="Q152" s="213">
        <f t="shared" si="138"/>
        <v>332995</v>
      </c>
      <c r="R152" s="215">
        <f t="shared" si="138"/>
        <v>7.5600000000000001E-2</v>
      </c>
      <c r="S152" s="212">
        <f>IF(AND(P124&gt;=P152,P124&lt;Q152),R151-((P124-100000)*R152),0)</f>
        <v>0</v>
      </c>
      <c r="U152" s="218"/>
      <c r="V152" s="213">
        <f t="shared" ref="V152:X152" si="139">V92</f>
        <v>110999</v>
      </c>
      <c r="W152" s="213">
        <f t="shared" si="139"/>
        <v>332995</v>
      </c>
      <c r="X152" s="215">
        <f t="shared" si="139"/>
        <v>7.5600000000000001E-2</v>
      </c>
      <c r="Y152" s="212">
        <f>IF(AND(V124&gt;=V152,V124&lt;W152),X151-((V124-100000)*X152),0)</f>
        <v>0</v>
      </c>
    </row>
    <row r="153" spans="9:25" x14ac:dyDescent="0.2">
      <c r="I153" s="218"/>
      <c r="J153" s="213">
        <f t="shared" ref="J153:L153" si="140">J93</f>
        <v>332995</v>
      </c>
      <c r="K153" s="213"/>
      <c r="L153" s="215">
        <f t="shared" si="140"/>
        <v>0</v>
      </c>
      <c r="M153" s="212">
        <f>IF(J124&gt;=J153,J124*L153,0)</f>
        <v>0</v>
      </c>
      <c r="O153" s="218"/>
      <c r="P153" s="213">
        <f t="shared" ref="P153:R153" si="141">P93</f>
        <v>332995</v>
      </c>
      <c r="Q153" s="213"/>
      <c r="R153" s="215">
        <f t="shared" si="141"/>
        <v>0</v>
      </c>
      <c r="S153" s="212">
        <f>IF(P124&gt;=P153,P124*R153,0)</f>
        <v>0</v>
      </c>
      <c r="U153" s="218"/>
      <c r="V153" s="213">
        <f t="shared" ref="V153:X153" si="142">V93</f>
        <v>332995</v>
      </c>
      <c r="W153" s="213"/>
      <c r="X153" s="215">
        <f t="shared" si="142"/>
        <v>0</v>
      </c>
      <c r="Y153" s="212">
        <f>IF(V124&gt;=V153,V124*X153,0)</f>
        <v>0</v>
      </c>
    </row>
    <row r="154" spans="9:25" x14ac:dyDescent="0.2">
      <c r="I154" s="218"/>
      <c r="J154" s="208"/>
      <c r="K154" s="208"/>
      <c r="L154" s="208"/>
      <c r="M154" s="208"/>
      <c r="O154" s="218"/>
      <c r="P154" s="208"/>
      <c r="Q154" s="208"/>
      <c r="R154" s="208"/>
      <c r="S154" s="208"/>
      <c r="U154" s="218"/>
      <c r="V154" s="208"/>
      <c r="W154" s="208"/>
      <c r="X154" s="208"/>
      <c r="Y154" s="208"/>
    </row>
    <row r="155" spans="9:25" x14ac:dyDescent="0.2">
      <c r="I155" s="218"/>
      <c r="J155" s="515" t="s">
        <v>474</v>
      </c>
      <c r="K155" s="515"/>
      <c r="L155" s="515"/>
      <c r="M155" s="208"/>
      <c r="O155" s="218"/>
      <c r="P155" s="515" t="str">
        <f>J155</f>
        <v>MKB-winstvrijstelling (2017)</v>
      </c>
      <c r="Q155" s="515"/>
      <c r="R155" s="515"/>
      <c r="S155" s="208"/>
      <c r="U155" s="218"/>
      <c r="V155" s="515" t="str">
        <f>J155</f>
        <v>MKB-winstvrijstelling (2017)</v>
      </c>
      <c r="W155" s="515"/>
      <c r="X155" s="515"/>
      <c r="Y155" s="208"/>
    </row>
    <row r="156" spans="9:25" x14ac:dyDescent="0.2">
      <c r="I156" s="218"/>
      <c r="J156" s="514" t="s">
        <v>235</v>
      </c>
      <c r="K156" s="514"/>
      <c r="L156" s="211" t="s">
        <v>230</v>
      </c>
      <c r="M156" s="208"/>
      <c r="O156" s="218"/>
      <c r="P156" s="514" t="s">
        <v>235</v>
      </c>
      <c r="Q156" s="514"/>
      <c r="R156" s="211" t="s">
        <v>230</v>
      </c>
      <c r="S156" s="208"/>
      <c r="U156" s="218"/>
      <c r="V156" s="514" t="s">
        <v>235</v>
      </c>
      <c r="W156" s="514"/>
      <c r="X156" s="211" t="s">
        <v>230</v>
      </c>
      <c r="Y156" s="208"/>
    </row>
    <row r="157" spans="9:25" x14ac:dyDescent="0.2">
      <c r="I157" s="217">
        <f ca="1">IF(OR(Privé!D$22=Dropdowns!$B$2,Privé!D$22=Dropdowns!$B$4),0,IF(J123-I127-I132-I137&lt;0,0,(J123-I127-I132-I137)*L158))</f>
        <v>0</v>
      </c>
      <c r="J157" s="227" t="s">
        <v>231</v>
      </c>
      <c r="K157" s="227" t="s">
        <v>232</v>
      </c>
      <c r="L157" s="227"/>
      <c r="M157" s="208"/>
      <c r="O157" s="217">
        <f>IF(OR(Privé!H$22=Dropdowns!$B$2,Privé!H$22=Dropdowns!$B$4),0,IF(P123-O127-O132-O137&lt;0,0,(P123-O127-O132-O137)*R158))</f>
        <v>0</v>
      </c>
      <c r="P157" s="227" t="s">
        <v>231</v>
      </c>
      <c r="Q157" s="227" t="s">
        <v>232</v>
      </c>
      <c r="R157" s="227"/>
      <c r="S157" s="208"/>
      <c r="U157" s="217">
        <f>IF(OR(Privé!L$22=Dropdowns!$B$2,Privé!L$22=Dropdowns!$B$4),0,IF(V123-U127-U132-U137&lt;0,0,(V123-U127-U132-U137)*X158))</f>
        <v>0</v>
      </c>
      <c r="V157" s="227" t="s">
        <v>231</v>
      </c>
      <c r="W157" s="227" t="s">
        <v>232</v>
      </c>
      <c r="X157" s="227"/>
      <c r="Y157" s="208"/>
    </row>
    <row r="158" spans="9:25" x14ac:dyDescent="0.2">
      <c r="I158" s="219"/>
      <c r="J158" s="213">
        <f>J98</f>
        <v>0</v>
      </c>
      <c r="K158" s="213"/>
      <c r="L158" s="215">
        <f>L98</f>
        <v>0.14000000000000001</v>
      </c>
      <c r="M158" s="210"/>
      <c r="O158" s="219"/>
      <c r="P158" s="213">
        <f>P98</f>
        <v>0</v>
      </c>
      <c r="Q158" s="213"/>
      <c r="R158" s="215">
        <f>R98</f>
        <v>0.14000000000000001</v>
      </c>
      <c r="S158" s="210"/>
      <c r="U158" s="219"/>
      <c r="V158" s="213">
        <f>V98</f>
        <v>0</v>
      </c>
      <c r="W158" s="213"/>
      <c r="X158" s="215">
        <f>X98</f>
        <v>0.14000000000000001</v>
      </c>
      <c r="Y158" s="210"/>
    </row>
    <row r="159" spans="9:25" x14ac:dyDescent="0.2">
      <c r="I159" s="219"/>
      <c r="J159" s="184"/>
      <c r="K159" s="184"/>
      <c r="L159" s="184"/>
      <c r="M159" s="184"/>
      <c r="O159" s="219"/>
      <c r="P159" s="184"/>
      <c r="Q159" s="184"/>
      <c r="R159" s="184"/>
      <c r="S159" s="184"/>
      <c r="U159" s="219"/>
      <c r="V159" s="184"/>
      <c r="W159" s="184"/>
      <c r="X159" s="184"/>
      <c r="Y159" s="184"/>
    </row>
    <row r="160" spans="9:25" x14ac:dyDescent="0.2">
      <c r="I160" s="218"/>
      <c r="J160" s="515" t="s">
        <v>475</v>
      </c>
      <c r="K160" s="515"/>
      <c r="L160" s="515"/>
      <c r="M160" s="208"/>
      <c r="O160" s="218"/>
      <c r="P160" s="515" t="str">
        <f>J160</f>
        <v>Ouderdagsreserve (2017)</v>
      </c>
      <c r="Q160" s="515"/>
      <c r="R160" s="515"/>
      <c r="S160" s="208"/>
      <c r="U160" s="218"/>
      <c r="V160" s="515" t="str">
        <f>J160</f>
        <v>Ouderdagsreserve (2017)</v>
      </c>
      <c r="W160" s="515"/>
      <c r="X160" s="515"/>
      <c r="Y160" s="208"/>
    </row>
    <row r="161" spans="9:26" x14ac:dyDescent="0.2">
      <c r="I161" s="218"/>
      <c r="J161" s="514" t="s">
        <v>235</v>
      </c>
      <c r="K161" s="514"/>
      <c r="L161" s="211" t="s">
        <v>230</v>
      </c>
      <c r="M161" s="208"/>
      <c r="O161" s="218"/>
      <c r="P161" s="514" t="s">
        <v>235</v>
      </c>
      <c r="Q161" s="514"/>
      <c r="R161" s="211" t="s">
        <v>230</v>
      </c>
      <c r="S161" s="208"/>
      <c r="U161" s="218"/>
      <c r="V161" s="514" t="s">
        <v>235</v>
      </c>
      <c r="W161" s="514"/>
      <c r="X161" s="211" t="s">
        <v>230</v>
      </c>
      <c r="Y161" s="208"/>
    </row>
    <row r="162" spans="9:26" x14ac:dyDescent="0.2">
      <c r="I162" s="217">
        <f ca="1">IF(OR(Privé!D$23=Dropdowns!$B$2,Privé!D$23=Dropdowns!$B$4),0,M163)</f>
        <v>0</v>
      </c>
      <c r="J162" s="227" t="s">
        <v>231</v>
      </c>
      <c r="K162" s="227" t="s">
        <v>232</v>
      </c>
      <c r="L162" s="227"/>
      <c r="M162" s="208"/>
      <c r="O162" s="217">
        <f>IF(OR(Privé!H$23=Dropdowns!$B$2,Privé!H$23=Dropdowns!$B$4),0,S163)</f>
        <v>0</v>
      </c>
      <c r="P162" s="227" t="s">
        <v>231</v>
      </c>
      <c r="Q162" s="227" t="s">
        <v>232</v>
      </c>
      <c r="R162" s="227"/>
      <c r="S162" s="208"/>
      <c r="U162" s="217">
        <f>IF(OR(Privé!L$23=Dropdowns!$B$2,Privé!L$23=Dropdowns!$B$4),0,Y163)</f>
        <v>0</v>
      </c>
      <c r="V162" s="227" t="s">
        <v>231</v>
      </c>
      <c r="W162" s="227" t="s">
        <v>232</v>
      </c>
      <c r="X162" s="227"/>
      <c r="Y162" s="208"/>
    </row>
    <row r="163" spans="9:26" x14ac:dyDescent="0.2">
      <c r="I163" s="219"/>
      <c r="J163" s="213">
        <f t="shared" ref="J163:L163" si="143">J103</f>
        <v>0</v>
      </c>
      <c r="K163" s="213">
        <f t="shared" si="143"/>
        <v>9632</v>
      </c>
      <c r="L163" s="215">
        <f t="shared" si="143"/>
        <v>9.4399999999999998E-2</v>
      </c>
      <c r="M163" s="210">
        <f ca="1">IF(J123&lt;=0,0,IF(J123*L163&gt;K163,K163,J123*L163))</f>
        <v>0</v>
      </c>
      <c r="O163" s="219"/>
      <c r="P163" s="213">
        <f>P103</f>
        <v>0</v>
      </c>
      <c r="Q163" s="213">
        <f>Q103</f>
        <v>9632</v>
      </c>
      <c r="R163" s="215">
        <f>R103</f>
        <v>9.4399999999999998E-2</v>
      </c>
      <c r="S163" s="210">
        <f>IF(P123&lt;=0,0,IF(P123*R163&gt;Q163,Q163,P123*R163))</f>
        <v>0</v>
      </c>
      <c r="U163" s="219"/>
      <c r="V163" s="213">
        <f>V103</f>
        <v>0</v>
      </c>
      <c r="W163" s="213">
        <f>W103</f>
        <v>9632</v>
      </c>
      <c r="X163" s="215">
        <f>X103</f>
        <v>9.4399999999999998E-2</v>
      </c>
      <c r="Y163" s="210">
        <f>IF(V123&lt;=0,0,IF(V123*X163&gt;W163,W163,V123*X163))</f>
        <v>0</v>
      </c>
    </row>
    <row r="164" spans="9:26" x14ac:dyDescent="0.2">
      <c r="M164" s="124"/>
      <c r="S164" s="124"/>
      <c r="Y164" s="124"/>
    </row>
    <row r="165" spans="9:26" x14ac:dyDescent="0.2">
      <c r="I165" s="217">
        <f ca="1">IF(Privé!D$26=Dropdowns!$B$3,SUM(L168:L170),0)</f>
        <v>0</v>
      </c>
      <c r="J165" s="515" t="s">
        <v>476</v>
      </c>
      <c r="K165" s="515"/>
      <c r="L165" s="515"/>
      <c r="M165" s="208"/>
      <c r="O165" s="217">
        <f>IF(Privé!H$26=Dropdowns!$B$3,SUM(R168:R170),0)</f>
        <v>0</v>
      </c>
      <c r="P165" s="515" t="str">
        <f>J165</f>
        <v>Heffingskorting (2017)</v>
      </c>
      <c r="Q165" s="515"/>
      <c r="R165" s="515"/>
      <c r="S165" s="208"/>
      <c r="U165" s="217">
        <f>IF(Privé!L$26=Dropdowns!$B$3,SUM(X168:X170),0)</f>
        <v>0</v>
      </c>
      <c r="V165" s="515" t="str">
        <f>J165</f>
        <v>Heffingskorting (2017)</v>
      </c>
      <c r="W165" s="515"/>
      <c r="X165" s="515"/>
      <c r="Y165" s="208"/>
    </row>
    <row r="166" spans="9:26" x14ac:dyDescent="0.2">
      <c r="I166" s="218"/>
      <c r="J166" s="514" t="s">
        <v>67</v>
      </c>
      <c r="K166" s="514"/>
      <c r="L166" s="211" t="s">
        <v>423</v>
      </c>
      <c r="M166" s="208"/>
      <c r="O166" s="218"/>
      <c r="P166" s="514" t="s">
        <v>67</v>
      </c>
      <c r="Q166" s="514"/>
      <c r="R166" s="211" t="s">
        <v>423</v>
      </c>
      <c r="S166" s="208"/>
      <c r="U166" s="218"/>
      <c r="V166" s="514" t="s">
        <v>67</v>
      </c>
      <c r="W166" s="514"/>
      <c r="X166" s="211" t="s">
        <v>423</v>
      </c>
      <c r="Y166" s="208"/>
    </row>
    <row r="167" spans="9:26" x14ac:dyDescent="0.2">
      <c r="I167" s="218"/>
      <c r="J167" s="227" t="s">
        <v>231</v>
      </c>
      <c r="K167" s="227" t="s">
        <v>232</v>
      </c>
      <c r="L167" s="227"/>
      <c r="M167" s="208"/>
      <c r="O167" s="218"/>
      <c r="P167" s="227" t="s">
        <v>231</v>
      </c>
      <c r="Q167" s="227" t="s">
        <v>232</v>
      </c>
      <c r="R167" s="227"/>
      <c r="S167" s="208"/>
      <c r="U167" s="218"/>
      <c r="V167" s="227" t="s">
        <v>231</v>
      </c>
      <c r="W167" s="227" t="s">
        <v>232</v>
      </c>
      <c r="X167" s="227"/>
      <c r="Y167" s="208"/>
    </row>
    <row r="168" spans="9:26" x14ac:dyDescent="0.2">
      <c r="I168" s="218"/>
      <c r="J168" s="216">
        <f t="shared" ref="J168:K168" si="144">J108</f>
        <v>0</v>
      </c>
      <c r="K168" s="216">
        <f t="shared" si="144"/>
        <v>21317</v>
      </c>
      <c r="L168" s="213">
        <f ca="1">IF(AND($B$52&gt;J168,$B$52&lt;K168),M168,0)</f>
        <v>0</v>
      </c>
      <c r="M168" s="212">
        <f t="shared" ref="M168:N170" si="145">M107</f>
        <v>0</v>
      </c>
      <c r="N168" s="179">
        <f t="shared" si="145"/>
        <v>0</v>
      </c>
      <c r="O168" s="218"/>
      <c r="P168" s="216">
        <f t="shared" ref="P168:Q168" si="146">P108</f>
        <v>0</v>
      </c>
      <c r="Q168" s="216">
        <f t="shared" si="146"/>
        <v>21317</v>
      </c>
      <c r="R168" s="213">
        <f>IF(AND($C$52&gt;P168,$C$52&lt;Q168),S168,0)</f>
        <v>0</v>
      </c>
      <c r="S168" s="212">
        <f t="shared" ref="S168:T168" si="147">S107</f>
        <v>0</v>
      </c>
      <c r="T168" s="179">
        <f t="shared" si="147"/>
        <v>0</v>
      </c>
      <c r="U168" s="218"/>
      <c r="V168" s="216">
        <f t="shared" ref="V168:W168" si="148">V108</f>
        <v>0</v>
      </c>
      <c r="W168" s="216">
        <f t="shared" si="148"/>
        <v>21317</v>
      </c>
      <c r="X168" s="213">
        <f>IF(AND($D$52&gt;V168,$D$52&lt;W168),Y168,0)</f>
        <v>0</v>
      </c>
      <c r="Y168" s="212">
        <f t="shared" ref="Y168:Z168" si="149">Y107</f>
        <v>0</v>
      </c>
      <c r="Z168" s="179">
        <f t="shared" si="149"/>
        <v>0</v>
      </c>
    </row>
    <row r="169" spans="9:26" x14ac:dyDescent="0.2">
      <c r="I169" s="218"/>
      <c r="J169" s="213">
        <f t="shared" ref="J169:K169" si="150">J109</f>
        <v>21317</v>
      </c>
      <c r="K169" s="213">
        <f t="shared" si="150"/>
        <v>69398</v>
      </c>
      <c r="L169" s="213">
        <f ca="1">IF(AND($B$52&gt;=J169,$B$52&lt;K169),M169-N169*($B$52-J169),0)</f>
        <v>0</v>
      </c>
      <c r="M169" s="212">
        <f t="shared" si="145"/>
        <v>2254</v>
      </c>
      <c r="N169" s="179">
        <f t="shared" si="145"/>
        <v>0</v>
      </c>
      <c r="O169" s="218"/>
      <c r="P169" s="213">
        <f t="shared" ref="P169:Q169" si="151">P109</f>
        <v>21317</v>
      </c>
      <c r="Q169" s="213">
        <f t="shared" si="151"/>
        <v>69398</v>
      </c>
      <c r="R169" s="213">
        <f>IF(AND($C$52&gt;=P169,$C$52&lt;Q169),S169-T169*($C$52-P169),0)</f>
        <v>0</v>
      </c>
      <c r="S169" s="212">
        <f t="shared" ref="S169:T169" si="152">S108</f>
        <v>2254</v>
      </c>
      <c r="T169" s="179">
        <f t="shared" si="152"/>
        <v>0</v>
      </c>
      <c r="U169" s="218"/>
      <c r="V169" s="213">
        <f t="shared" ref="V169:W169" si="153">V109</f>
        <v>21317</v>
      </c>
      <c r="W169" s="213">
        <f t="shared" si="153"/>
        <v>69398</v>
      </c>
      <c r="X169" s="213">
        <f>IF(AND($D$52&gt;=V169,$D$52&lt;W169),Y169-Z169*($D$52-V169),0)</f>
        <v>0</v>
      </c>
      <c r="Y169" s="212">
        <f t="shared" ref="Y169:Z169" si="154">Y108</f>
        <v>2203</v>
      </c>
      <c r="Z169" s="179">
        <f t="shared" si="154"/>
        <v>0</v>
      </c>
    </row>
    <row r="170" spans="9:26" x14ac:dyDescent="0.2">
      <c r="I170" s="218"/>
      <c r="J170" s="213">
        <f t="shared" ref="J170" si="155">J110</f>
        <v>69398</v>
      </c>
      <c r="K170" s="213"/>
      <c r="L170" s="213">
        <f ca="1">IF($B$52&gt;=J170,M170,0)</f>
        <v>0</v>
      </c>
      <c r="M170" s="212">
        <f t="shared" si="145"/>
        <v>2254</v>
      </c>
      <c r="N170" s="179">
        <f t="shared" si="145"/>
        <v>4.7870000000000003E-2</v>
      </c>
      <c r="O170" s="218"/>
      <c r="P170" s="213">
        <f t="shared" ref="P170" si="156">P110</f>
        <v>69398</v>
      </c>
      <c r="Q170" s="213"/>
      <c r="R170" s="213">
        <f>IF($C$52&gt;=P170,S170,0)</f>
        <v>0</v>
      </c>
      <c r="S170" s="212">
        <f t="shared" ref="S170:T170" si="157">S109</f>
        <v>2254</v>
      </c>
      <c r="T170" s="179">
        <f t="shared" si="157"/>
        <v>4.7870000000000003E-2</v>
      </c>
      <c r="U170" s="218"/>
      <c r="V170" s="213">
        <f t="shared" ref="V170" si="158">V110</f>
        <v>69398</v>
      </c>
      <c r="W170" s="213"/>
      <c r="X170" s="213">
        <f>IF($D$52&gt;=V170,Y170,0)</f>
        <v>0</v>
      </c>
      <c r="Y170" s="212">
        <f t="shared" ref="Y170:Z170" si="159">Y109</f>
        <v>2203</v>
      </c>
      <c r="Z170" s="179">
        <f t="shared" si="159"/>
        <v>2.3199999999999998E-2</v>
      </c>
    </row>
    <row r="172" spans="9:26" x14ac:dyDescent="0.2">
      <c r="I172" s="217">
        <f ca="1">IF(Privé!D$26=Dropdowns!$B$3,SUM(L175:L179),0)</f>
        <v>0</v>
      </c>
      <c r="J172" s="515" t="s">
        <v>477</v>
      </c>
      <c r="K172" s="515"/>
      <c r="L172" s="515"/>
      <c r="M172" s="208"/>
      <c r="O172" s="217">
        <f>IF(Privé!H$26=Dropdowns!$B$3,SUM(R175:R179),0)</f>
        <v>0</v>
      </c>
      <c r="P172" s="515" t="str">
        <f>J172</f>
        <v>Arbeidskorting (2017)</v>
      </c>
      <c r="Q172" s="515"/>
      <c r="R172" s="515"/>
      <c r="S172" s="208"/>
      <c r="U172" s="217">
        <f>IF(Privé!L$26=Dropdowns!$B$3,SUM(X175:X179),0)</f>
        <v>0</v>
      </c>
      <c r="V172" s="515" t="str">
        <f>J172</f>
        <v>Arbeidskorting (2017)</v>
      </c>
      <c r="W172" s="515"/>
      <c r="X172" s="515"/>
      <c r="Y172" s="208"/>
    </row>
    <row r="173" spans="9:26" x14ac:dyDescent="0.2">
      <c r="I173" s="218"/>
      <c r="J173" s="514" t="s">
        <v>67</v>
      </c>
      <c r="K173" s="514"/>
      <c r="L173" s="211" t="s">
        <v>423</v>
      </c>
      <c r="M173" s="208"/>
      <c r="O173" s="218"/>
      <c r="P173" s="514" t="s">
        <v>67</v>
      </c>
      <c r="Q173" s="514"/>
      <c r="R173" s="211" t="s">
        <v>423</v>
      </c>
      <c r="S173" s="208"/>
      <c r="U173" s="218"/>
      <c r="V173" s="514" t="s">
        <v>67</v>
      </c>
      <c r="W173" s="514"/>
      <c r="X173" s="211" t="s">
        <v>423</v>
      </c>
      <c r="Y173" s="208"/>
    </row>
    <row r="174" spans="9:26" x14ac:dyDescent="0.2">
      <c r="I174" s="218"/>
      <c r="J174" s="227" t="s">
        <v>231</v>
      </c>
      <c r="K174" s="227" t="s">
        <v>232</v>
      </c>
      <c r="L174" s="227"/>
      <c r="M174" s="208"/>
      <c r="O174" s="218"/>
      <c r="P174" s="227" t="s">
        <v>231</v>
      </c>
      <c r="Q174" s="227" t="s">
        <v>232</v>
      </c>
      <c r="R174" s="227"/>
      <c r="S174" s="208"/>
      <c r="U174" s="218"/>
      <c r="V174" s="227" t="s">
        <v>231</v>
      </c>
      <c r="W174" s="227" t="s">
        <v>232</v>
      </c>
      <c r="X174" s="227"/>
      <c r="Y174" s="208"/>
    </row>
    <row r="175" spans="9:26" x14ac:dyDescent="0.2">
      <c r="I175" s="218"/>
      <c r="J175" s="216">
        <f t="shared" ref="J175:K175" si="160">J115</f>
        <v>0</v>
      </c>
      <c r="K175" s="216">
        <f t="shared" si="160"/>
        <v>10351</v>
      </c>
      <c r="L175" s="213">
        <f ca="1">IF(AND(J123&gt;J175,J123&lt;K175),N175*J123,0)</f>
        <v>0</v>
      </c>
      <c r="M175" s="212">
        <f>M114</f>
        <v>0</v>
      </c>
      <c r="N175" s="179">
        <f t="shared" ref="N175:N179" si="161">N114</f>
        <v>0</v>
      </c>
      <c r="O175" s="218"/>
      <c r="P175" s="216">
        <f t="shared" ref="P175:Q175" si="162">P115</f>
        <v>0</v>
      </c>
      <c r="Q175" s="216">
        <f t="shared" si="162"/>
        <v>10351</v>
      </c>
      <c r="R175" s="213">
        <f>IF(AND(P123&gt;P175,P123&lt;Q175),T175*P123,0)</f>
        <v>0</v>
      </c>
      <c r="S175" s="212">
        <f>S114</f>
        <v>0</v>
      </c>
      <c r="T175" s="179">
        <f t="shared" ref="T175:T179" si="163">T114</f>
        <v>0</v>
      </c>
      <c r="U175" s="218"/>
      <c r="V175" s="216">
        <f t="shared" ref="V175:W175" si="164">V115</f>
        <v>0</v>
      </c>
      <c r="W175" s="216">
        <f t="shared" si="164"/>
        <v>10351</v>
      </c>
      <c r="X175" s="213">
        <f>IF(AND(V123&gt;V175,V123&lt;W175),Z175*V123,0)</f>
        <v>0</v>
      </c>
      <c r="Y175" s="212">
        <f>Y114</f>
        <v>0</v>
      </c>
      <c r="Z175" s="179">
        <f t="shared" ref="Z175:Z179" si="165">Z114</f>
        <v>0</v>
      </c>
    </row>
    <row r="176" spans="9:26" x14ac:dyDescent="0.2">
      <c r="I176" s="218"/>
      <c r="J176" s="213">
        <f t="shared" ref="J176:K176" si="166">J116</f>
        <v>10351</v>
      </c>
      <c r="K176" s="213">
        <f t="shared" si="166"/>
        <v>22357</v>
      </c>
      <c r="L176" s="213">
        <f ca="1">IF(AND(J123&gt;=J176,J123&lt;K176),M176+N176*(J123-J176),0)</f>
        <v>0</v>
      </c>
      <c r="M176" s="212">
        <f t="shared" ref="M176" si="167">M115</f>
        <v>0</v>
      </c>
      <c r="N176" s="179">
        <f t="shared" si="161"/>
        <v>1.772E-2</v>
      </c>
      <c r="O176" s="218"/>
      <c r="P176" s="213">
        <f t="shared" ref="P176:Q176" si="168">P116</f>
        <v>10351</v>
      </c>
      <c r="Q176" s="213">
        <f t="shared" si="168"/>
        <v>22357</v>
      </c>
      <c r="R176" s="213">
        <f>IF(AND(P123&gt;=P176,P123&lt;Q176),S176+T176*(P123-P176),0)</f>
        <v>0</v>
      </c>
      <c r="S176" s="212">
        <f t="shared" ref="S176" si="169">S115</f>
        <v>0</v>
      </c>
      <c r="T176" s="179">
        <f t="shared" si="163"/>
        <v>1.772E-2</v>
      </c>
      <c r="U176" s="218"/>
      <c r="V176" s="213">
        <f t="shared" ref="V176:W176" si="170">V116</f>
        <v>10351</v>
      </c>
      <c r="W176" s="213">
        <f t="shared" si="170"/>
        <v>22357</v>
      </c>
      <c r="X176" s="213">
        <f>IF(AND(V123&gt;=V176,V123&lt;W176),Y176+Z176*(V123-V176),0)</f>
        <v>0</v>
      </c>
      <c r="Y176" s="212">
        <f t="shared" ref="Y176" si="171">Y115</f>
        <v>0</v>
      </c>
      <c r="Z176" s="179">
        <f t="shared" si="165"/>
        <v>1.772E-2</v>
      </c>
    </row>
    <row r="177" spans="9:26" x14ac:dyDescent="0.2">
      <c r="I177" s="218"/>
      <c r="J177" s="213">
        <f t="shared" ref="J177:K177" si="172">J117</f>
        <v>22357</v>
      </c>
      <c r="K177" s="213">
        <f t="shared" si="172"/>
        <v>36650</v>
      </c>
      <c r="L177" s="213">
        <f ca="1">IF(AND(J123&gt;=J177,J123&lt;K177),M177,0)</f>
        <v>0</v>
      </c>
      <c r="M177" s="212">
        <f t="shared" ref="M177" si="173">M116</f>
        <v>165</v>
      </c>
      <c r="N177" s="179">
        <f t="shared" si="161"/>
        <v>0.28316999999999998</v>
      </c>
      <c r="O177" s="218"/>
      <c r="P177" s="213">
        <f t="shared" ref="P177:Q177" si="174">P117</f>
        <v>22357</v>
      </c>
      <c r="Q177" s="213">
        <f t="shared" si="174"/>
        <v>36650</v>
      </c>
      <c r="R177" s="213">
        <f>IF(AND(P123&gt;=P177,P123&lt;Q177),S177,0)</f>
        <v>0</v>
      </c>
      <c r="S177" s="212">
        <f t="shared" ref="S177" si="175">S116</f>
        <v>165</v>
      </c>
      <c r="T177" s="179">
        <f t="shared" si="163"/>
        <v>0.28316999999999998</v>
      </c>
      <c r="U177" s="218"/>
      <c r="V177" s="213">
        <f t="shared" ref="V177:W177" si="176">V117</f>
        <v>22357</v>
      </c>
      <c r="W177" s="213">
        <f t="shared" si="176"/>
        <v>36650</v>
      </c>
      <c r="X177" s="213">
        <f>IF(AND(V123&gt;=V177,V123&lt;W177),Y177,0)</f>
        <v>0</v>
      </c>
      <c r="Y177" s="212">
        <f t="shared" ref="Y177" si="177">Y116</f>
        <v>165</v>
      </c>
      <c r="Z177" s="179">
        <f t="shared" si="165"/>
        <v>0.28316999999999998</v>
      </c>
    </row>
    <row r="178" spans="9:26" x14ac:dyDescent="0.2">
      <c r="J178" s="213">
        <f t="shared" ref="J178:K178" si="178">J118</f>
        <v>36650</v>
      </c>
      <c r="K178" s="213">
        <f t="shared" si="178"/>
        <v>109347</v>
      </c>
      <c r="L178" s="213">
        <f ca="1">IF(AND(J123&gt;=J178,J123&lt;K178),M178-N178*(J123-J178),0)</f>
        <v>0</v>
      </c>
      <c r="M178" s="212">
        <f t="shared" ref="M178" si="179">M117</f>
        <v>3223</v>
      </c>
      <c r="N178" s="179">
        <f t="shared" si="161"/>
        <v>0</v>
      </c>
      <c r="P178" s="213">
        <f t="shared" ref="P178:Q179" si="180">P118</f>
        <v>36650</v>
      </c>
      <c r="Q178" s="213">
        <f t="shared" si="180"/>
        <v>109347</v>
      </c>
      <c r="R178" s="213">
        <f>IF(AND(P123&gt;=P178,P123&lt;Q178),S178-T178*(P123-P178),0)</f>
        <v>0</v>
      </c>
      <c r="S178" s="212">
        <f t="shared" ref="S178" si="181">S117</f>
        <v>3223</v>
      </c>
      <c r="T178" s="179">
        <f t="shared" si="163"/>
        <v>0</v>
      </c>
      <c r="V178" s="213">
        <f t="shared" ref="V178:W178" si="182">V118</f>
        <v>36650</v>
      </c>
      <c r="W178" s="213">
        <f t="shared" si="182"/>
        <v>109347</v>
      </c>
      <c r="X178" s="213">
        <f>IF(AND(V123&gt;=V178,V123&lt;W178),Y178-Z178*(V123-V178),0)</f>
        <v>0</v>
      </c>
      <c r="Y178" s="212">
        <f t="shared" ref="Y178" si="183">Y117</f>
        <v>3223</v>
      </c>
      <c r="Z178" s="179">
        <f t="shared" si="165"/>
        <v>0</v>
      </c>
    </row>
    <row r="179" spans="9:26" x14ac:dyDescent="0.2">
      <c r="J179" s="213">
        <f t="shared" ref="J179" si="184">J119</f>
        <v>109347</v>
      </c>
      <c r="K179" s="213"/>
      <c r="L179" s="213">
        <f ca="1">IF(J123&gt;=J179,M179,0)</f>
        <v>0</v>
      </c>
      <c r="M179" s="212">
        <f t="shared" ref="M179" si="185">M118</f>
        <v>3223</v>
      </c>
      <c r="N179" s="179">
        <f t="shared" si="161"/>
        <v>3.5999999999999997E-2</v>
      </c>
      <c r="P179" s="213">
        <f t="shared" si="180"/>
        <v>109347</v>
      </c>
      <c r="Q179" s="213"/>
      <c r="R179" s="213">
        <f>IF(P123&gt;=P179,S179,0)</f>
        <v>0</v>
      </c>
      <c r="S179" s="212">
        <f t="shared" ref="S179" si="186">S118</f>
        <v>3223</v>
      </c>
      <c r="T179" s="179">
        <f t="shared" si="163"/>
        <v>3.5999999999999997E-2</v>
      </c>
      <c r="V179" s="213">
        <f t="shared" ref="V179" si="187">V119</f>
        <v>109347</v>
      </c>
      <c r="W179" s="213"/>
      <c r="X179" s="213">
        <f>IF(V123&gt;=V179,Y179,0)</f>
        <v>0</v>
      </c>
      <c r="Y179" s="212">
        <f t="shared" ref="Y179" si="188">Y118</f>
        <v>3223</v>
      </c>
      <c r="Z179" s="179">
        <f t="shared" si="165"/>
        <v>3.5999999999999997E-2</v>
      </c>
    </row>
  </sheetData>
  <customSheetViews>
    <customSheetView guid="{E8D2897D-F373-4833-ABA9-6A8879B86992}" state="hidden">
      <selection activeCell="H12" sqref="H12"/>
      <pageMargins left="0.7" right="0.7" top="0.75" bottom="0.75" header="0.3" footer="0.3"/>
    </customSheetView>
  </customSheetViews>
  <mergeCells count="144">
    <mergeCell ref="J161:K161"/>
    <mergeCell ref="J17:K17"/>
    <mergeCell ref="J39:L39"/>
    <mergeCell ref="J40:K40"/>
    <mergeCell ref="J100:L100"/>
    <mergeCell ref="J101:K101"/>
    <mergeCell ref="J25:L25"/>
    <mergeCell ref="J26:K26"/>
    <mergeCell ref="J34:L34"/>
    <mergeCell ref="J35:K35"/>
    <mergeCell ref="J86:L86"/>
    <mergeCell ref="J87:K87"/>
    <mergeCell ref="J95:L95"/>
    <mergeCell ref="J96:K96"/>
    <mergeCell ref="J156:K156"/>
    <mergeCell ref="J73:K73"/>
    <mergeCell ref="J77:L77"/>
    <mergeCell ref="J78:K78"/>
    <mergeCell ref="J128:K128"/>
    <mergeCell ref="J132:L132"/>
    <mergeCell ref="J133:K133"/>
    <mergeCell ref="J67:L67"/>
    <mergeCell ref="J68:K68"/>
    <mergeCell ref="J72:L72"/>
    <mergeCell ref="J6:L6"/>
    <mergeCell ref="J7:K7"/>
    <mergeCell ref="J11:L11"/>
    <mergeCell ref="J12:K12"/>
    <mergeCell ref="J16:L16"/>
    <mergeCell ref="J160:L160"/>
    <mergeCell ref="J172:L172"/>
    <mergeCell ref="J173:K173"/>
    <mergeCell ref="J44:L44"/>
    <mergeCell ref="J45:K45"/>
    <mergeCell ref="J51:L51"/>
    <mergeCell ref="J52:K52"/>
    <mergeCell ref="J105:L105"/>
    <mergeCell ref="J106:K106"/>
    <mergeCell ref="J112:L112"/>
    <mergeCell ref="J113:K113"/>
    <mergeCell ref="J165:L165"/>
    <mergeCell ref="J166:K166"/>
    <mergeCell ref="J146:L146"/>
    <mergeCell ref="J147:K147"/>
    <mergeCell ref="J155:L155"/>
    <mergeCell ref="J137:L137"/>
    <mergeCell ref="J138:K138"/>
    <mergeCell ref="J127:L127"/>
    <mergeCell ref="P17:Q17"/>
    <mergeCell ref="P25:R25"/>
    <mergeCell ref="P26:Q26"/>
    <mergeCell ref="P34:R34"/>
    <mergeCell ref="P35:Q35"/>
    <mergeCell ref="P6:R6"/>
    <mergeCell ref="P7:Q7"/>
    <mergeCell ref="P11:R11"/>
    <mergeCell ref="P12:Q12"/>
    <mergeCell ref="P16:R16"/>
    <mergeCell ref="P52:Q52"/>
    <mergeCell ref="P67:R67"/>
    <mergeCell ref="P68:Q68"/>
    <mergeCell ref="P72:R72"/>
    <mergeCell ref="P73:Q73"/>
    <mergeCell ref="P39:R39"/>
    <mergeCell ref="P40:Q40"/>
    <mergeCell ref="P44:R44"/>
    <mergeCell ref="P45:Q45"/>
    <mergeCell ref="P51:R51"/>
    <mergeCell ref="P96:Q96"/>
    <mergeCell ref="P100:R100"/>
    <mergeCell ref="P101:Q101"/>
    <mergeCell ref="P105:R105"/>
    <mergeCell ref="P106:Q106"/>
    <mergeCell ref="P77:R77"/>
    <mergeCell ref="P78:Q78"/>
    <mergeCell ref="P86:R86"/>
    <mergeCell ref="P87:Q87"/>
    <mergeCell ref="P95:R95"/>
    <mergeCell ref="P161:Q161"/>
    <mergeCell ref="P165:R165"/>
    <mergeCell ref="P133:Q133"/>
    <mergeCell ref="P137:R137"/>
    <mergeCell ref="P138:Q138"/>
    <mergeCell ref="P146:R146"/>
    <mergeCell ref="P147:Q147"/>
    <mergeCell ref="P112:R112"/>
    <mergeCell ref="P113:Q113"/>
    <mergeCell ref="P127:R127"/>
    <mergeCell ref="P128:Q128"/>
    <mergeCell ref="P132:R132"/>
    <mergeCell ref="V45:W45"/>
    <mergeCell ref="V51:X51"/>
    <mergeCell ref="V52:W52"/>
    <mergeCell ref="V67:X67"/>
    <mergeCell ref="V68:W68"/>
    <mergeCell ref="P166:Q166"/>
    <mergeCell ref="P172:R172"/>
    <mergeCell ref="P173:Q173"/>
    <mergeCell ref="V6:X6"/>
    <mergeCell ref="V7:W7"/>
    <mergeCell ref="V11:X11"/>
    <mergeCell ref="V12:W12"/>
    <mergeCell ref="V16:X16"/>
    <mergeCell ref="V17:W17"/>
    <mergeCell ref="V25:X25"/>
    <mergeCell ref="V26:W26"/>
    <mergeCell ref="V34:X34"/>
    <mergeCell ref="V35:W35"/>
    <mergeCell ref="V39:X39"/>
    <mergeCell ref="V40:W40"/>
    <mergeCell ref="V44:X44"/>
    <mergeCell ref="P155:R155"/>
    <mergeCell ref="P156:Q156"/>
    <mergeCell ref="P160:R160"/>
    <mergeCell ref="V87:W87"/>
    <mergeCell ref="V95:X95"/>
    <mergeCell ref="V96:W96"/>
    <mergeCell ref="V100:X100"/>
    <mergeCell ref="V101:W101"/>
    <mergeCell ref="V72:X72"/>
    <mergeCell ref="V73:W73"/>
    <mergeCell ref="V77:X77"/>
    <mergeCell ref="V78:W78"/>
    <mergeCell ref="V86:X86"/>
    <mergeCell ref="V128:W128"/>
    <mergeCell ref="V132:X132"/>
    <mergeCell ref="V133:W133"/>
    <mergeCell ref="V137:X137"/>
    <mergeCell ref="V138:W138"/>
    <mergeCell ref="V105:X105"/>
    <mergeCell ref="V106:W106"/>
    <mergeCell ref="V112:X112"/>
    <mergeCell ref="V113:W113"/>
    <mergeCell ref="V127:X127"/>
    <mergeCell ref="V161:W161"/>
    <mergeCell ref="V165:X165"/>
    <mergeCell ref="V166:W166"/>
    <mergeCell ref="V172:X172"/>
    <mergeCell ref="V173:W173"/>
    <mergeCell ref="V146:X146"/>
    <mergeCell ref="V147:W147"/>
    <mergeCell ref="V155:X155"/>
    <mergeCell ref="V156:W156"/>
    <mergeCell ref="V160:X16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5"/>
  <sheetViews>
    <sheetView workbookViewId="0">
      <selection activeCell="Q10" sqref="Q10"/>
    </sheetView>
  </sheetViews>
  <sheetFormatPr defaultRowHeight="12.75" x14ac:dyDescent="0.2"/>
  <cols>
    <col min="20" max="20" width="12" bestFit="1" customWidth="1"/>
  </cols>
  <sheetData>
    <row r="1" spans="1:20" x14ac:dyDescent="0.2">
      <c r="A1" s="123"/>
      <c r="B1" s="125" t="s">
        <v>236</v>
      </c>
      <c r="C1" s="123"/>
      <c r="D1" s="125" t="s">
        <v>237</v>
      </c>
      <c r="E1" s="123"/>
      <c r="F1" s="125" t="s">
        <v>238</v>
      </c>
      <c r="G1" s="123"/>
      <c r="H1" s="125" t="s">
        <v>239</v>
      </c>
      <c r="I1" s="123"/>
      <c r="J1" s="126" t="s">
        <v>240</v>
      </c>
      <c r="K1" s="123"/>
      <c r="L1" s="126" t="s">
        <v>241</v>
      </c>
      <c r="M1" s="123"/>
      <c r="N1" s="125" t="s">
        <v>242</v>
      </c>
      <c r="P1" s="267" t="s">
        <v>435</v>
      </c>
      <c r="R1" s="267" t="s">
        <v>443</v>
      </c>
      <c r="T1" s="267" t="s">
        <v>450</v>
      </c>
    </row>
    <row r="2" spans="1:20" x14ac:dyDescent="0.2">
      <c r="A2" s="123"/>
      <c r="B2" s="127" t="s">
        <v>243</v>
      </c>
      <c r="C2" s="123"/>
      <c r="D2" s="127">
        <v>1</v>
      </c>
      <c r="E2" s="123"/>
      <c r="F2" s="128">
        <v>0.21</v>
      </c>
      <c r="G2" s="123"/>
      <c r="H2" s="127">
        <v>1</v>
      </c>
      <c r="I2" s="123"/>
      <c r="J2" s="129" t="s">
        <v>156</v>
      </c>
      <c r="K2" s="123"/>
      <c r="L2" s="129" t="s">
        <v>244</v>
      </c>
      <c r="M2" s="123"/>
      <c r="N2" s="127" t="s">
        <v>243</v>
      </c>
      <c r="P2" s="268" t="s">
        <v>436</v>
      </c>
      <c r="R2" s="268" t="s">
        <v>444</v>
      </c>
      <c r="T2" s="268" t="s">
        <v>449</v>
      </c>
    </row>
    <row r="3" spans="1:20" x14ac:dyDescent="0.2">
      <c r="A3" s="123"/>
      <c r="B3" s="127" t="s">
        <v>245</v>
      </c>
      <c r="C3" s="123"/>
      <c r="D3" s="127">
        <v>2</v>
      </c>
      <c r="E3" s="123"/>
      <c r="F3" s="128">
        <v>0.06</v>
      </c>
      <c r="G3" s="123"/>
      <c r="H3" s="127">
        <v>2</v>
      </c>
      <c r="I3" s="123"/>
      <c r="J3" s="129" t="s">
        <v>246</v>
      </c>
      <c r="K3" s="123"/>
      <c r="L3" s="129" t="s">
        <v>247</v>
      </c>
      <c r="M3" s="123"/>
      <c r="N3" s="127" t="s">
        <v>248</v>
      </c>
      <c r="P3" s="268" t="s">
        <v>437</v>
      </c>
      <c r="R3" s="268" t="s">
        <v>445</v>
      </c>
      <c r="T3" s="268" t="s">
        <v>451</v>
      </c>
    </row>
    <row r="4" spans="1:20" x14ac:dyDescent="0.2">
      <c r="A4" s="123"/>
      <c r="B4" s="127" t="s">
        <v>248</v>
      </c>
      <c r="C4" s="123"/>
      <c r="D4" s="127">
        <v>3</v>
      </c>
      <c r="E4" s="123"/>
      <c r="F4" s="128">
        <v>0</v>
      </c>
      <c r="G4" s="123"/>
      <c r="H4" s="127">
        <v>3</v>
      </c>
      <c r="I4" s="123"/>
      <c r="J4" s="129" t="s">
        <v>249</v>
      </c>
      <c r="K4" s="123"/>
      <c r="L4" s="129" t="s">
        <v>242</v>
      </c>
      <c r="M4" s="123"/>
      <c r="N4" s="127" t="s">
        <v>250</v>
      </c>
      <c r="R4" s="268" t="s">
        <v>446</v>
      </c>
      <c r="T4" s="268" t="s">
        <v>452</v>
      </c>
    </row>
    <row r="5" spans="1:20" x14ac:dyDescent="0.2">
      <c r="A5" s="123"/>
      <c r="B5" s="123"/>
      <c r="C5" s="123"/>
      <c r="D5" s="127">
        <v>4</v>
      </c>
      <c r="E5" s="123"/>
      <c r="F5" s="123"/>
      <c r="G5" s="123"/>
      <c r="H5" s="127">
        <v>4</v>
      </c>
      <c r="I5" s="123"/>
      <c r="J5" s="129" t="s">
        <v>251</v>
      </c>
      <c r="K5" s="123"/>
      <c r="L5" s="129" t="s">
        <v>252</v>
      </c>
      <c r="M5" s="123"/>
      <c r="N5" s="127" t="s">
        <v>253</v>
      </c>
    </row>
    <row r="6" spans="1:20" x14ac:dyDescent="0.2">
      <c r="A6" s="123"/>
      <c r="B6" s="125" t="s">
        <v>254</v>
      </c>
      <c r="C6" s="123"/>
      <c r="D6" s="127">
        <v>5</v>
      </c>
      <c r="E6" s="123"/>
      <c r="F6" s="125" t="s">
        <v>255</v>
      </c>
      <c r="G6" s="123"/>
      <c r="H6" s="127">
        <v>5</v>
      </c>
      <c r="I6" s="123"/>
      <c r="J6" s="129" t="s">
        <v>256</v>
      </c>
      <c r="K6" s="123"/>
      <c r="L6" s="129" t="s">
        <v>257</v>
      </c>
      <c r="M6" s="123"/>
      <c r="N6" s="127" t="s">
        <v>258</v>
      </c>
    </row>
    <row r="7" spans="1:20" x14ac:dyDescent="0.2">
      <c r="A7" s="123"/>
      <c r="B7" s="127" t="s">
        <v>243</v>
      </c>
      <c r="C7" s="123"/>
      <c r="D7" s="127">
        <v>6</v>
      </c>
      <c r="E7" s="123"/>
      <c r="F7" s="127" t="s">
        <v>243</v>
      </c>
      <c r="G7" s="123"/>
      <c r="H7" s="127">
        <v>6</v>
      </c>
      <c r="I7" s="123"/>
      <c r="J7" s="129" t="s">
        <v>10</v>
      </c>
      <c r="K7" s="123"/>
      <c r="L7" s="123"/>
      <c r="M7" s="123"/>
      <c r="N7" s="127" t="s">
        <v>259</v>
      </c>
    </row>
    <row r="8" spans="1:20" x14ac:dyDescent="0.2">
      <c r="A8" s="123"/>
      <c r="B8" s="127" t="s">
        <v>260</v>
      </c>
      <c r="C8" s="130">
        <v>0</v>
      </c>
      <c r="D8" s="127">
        <v>7</v>
      </c>
      <c r="E8" s="123"/>
      <c r="F8" s="127" t="s">
        <v>261</v>
      </c>
      <c r="G8" s="123"/>
      <c r="H8" s="127">
        <v>7</v>
      </c>
      <c r="I8" s="123"/>
      <c r="J8" s="129" t="s">
        <v>262</v>
      </c>
      <c r="K8" s="123"/>
      <c r="L8" s="123"/>
      <c r="M8" s="123"/>
      <c r="N8" s="127" t="s">
        <v>263</v>
      </c>
    </row>
    <row r="9" spans="1:20" x14ac:dyDescent="0.2">
      <c r="A9" s="123"/>
      <c r="B9" s="127" t="s">
        <v>264</v>
      </c>
      <c r="C9" s="130">
        <v>0</v>
      </c>
      <c r="D9" s="127">
        <v>8</v>
      </c>
      <c r="E9" s="123"/>
      <c r="F9" s="127" t="s">
        <v>265</v>
      </c>
      <c r="G9" s="123"/>
      <c r="H9" s="127">
        <v>8</v>
      </c>
      <c r="I9" s="123"/>
      <c r="J9" s="129" t="s">
        <v>266</v>
      </c>
      <c r="K9" s="123"/>
      <c r="L9" s="123"/>
      <c r="M9" s="123"/>
      <c r="N9" s="123"/>
    </row>
    <row r="10" spans="1:20" x14ac:dyDescent="0.2">
      <c r="A10" s="123"/>
      <c r="B10" s="127" t="s">
        <v>267</v>
      </c>
      <c r="C10" s="130">
        <v>0</v>
      </c>
      <c r="D10" s="127">
        <v>9</v>
      </c>
      <c r="E10" s="123"/>
      <c r="F10" s="127" t="s">
        <v>268</v>
      </c>
      <c r="G10" s="123"/>
      <c r="H10" s="127">
        <v>9</v>
      </c>
      <c r="I10" s="123"/>
      <c r="J10" s="129" t="s">
        <v>269</v>
      </c>
      <c r="K10" s="123"/>
      <c r="L10" s="123"/>
      <c r="M10" s="123"/>
      <c r="N10" s="123"/>
    </row>
    <row r="11" spans="1:20" x14ac:dyDescent="0.2">
      <c r="A11" s="123"/>
      <c r="B11" s="127" t="s">
        <v>270</v>
      </c>
      <c r="C11" s="130">
        <v>1</v>
      </c>
      <c r="D11" s="127">
        <v>10</v>
      </c>
      <c r="E11" s="123"/>
      <c r="F11" s="127" t="s">
        <v>271</v>
      </c>
      <c r="G11" s="123"/>
      <c r="H11" s="127">
        <v>10</v>
      </c>
      <c r="I11" s="123"/>
      <c r="J11" s="129" t="s">
        <v>152</v>
      </c>
      <c r="K11" s="123"/>
      <c r="L11" s="123"/>
      <c r="M11" s="123"/>
      <c r="N11" s="123"/>
    </row>
    <row r="12" spans="1:20" x14ac:dyDescent="0.2">
      <c r="A12" s="123"/>
      <c r="B12" s="127" t="s">
        <v>272</v>
      </c>
      <c r="C12" s="130">
        <v>2</v>
      </c>
      <c r="D12" s="127">
        <v>11</v>
      </c>
      <c r="E12" s="123"/>
      <c r="F12" s="123"/>
      <c r="G12" s="123"/>
      <c r="H12" s="127">
        <v>11</v>
      </c>
      <c r="I12" s="123"/>
      <c r="J12" s="129" t="s">
        <v>273</v>
      </c>
      <c r="K12" s="123"/>
      <c r="L12" s="123"/>
      <c r="M12" s="123"/>
      <c r="N12" s="123"/>
    </row>
    <row r="13" spans="1:20" x14ac:dyDescent="0.2">
      <c r="A13" s="123"/>
      <c r="B13" s="123"/>
      <c r="C13" s="123"/>
      <c r="D13" s="127">
        <v>12</v>
      </c>
      <c r="E13" s="123"/>
      <c r="F13" s="125" t="s">
        <v>274</v>
      </c>
      <c r="G13" s="123"/>
      <c r="H13" s="127">
        <v>12</v>
      </c>
      <c r="I13" s="123"/>
      <c r="J13" s="123"/>
      <c r="K13" s="123"/>
      <c r="L13" s="123"/>
      <c r="M13" s="123"/>
      <c r="N13" s="123"/>
    </row>
    <row r="14" spans="1:20" x14ac:dyDescent="0.2">
      <c r="A14" s="123"/>
      <c r="B14" s="125" t="s">
        <v>275</v>
      </c>
      <c r="C14" s="123">
        <v>30</v>
      </c>
      <c r="D14" s="123"/>
      <c r="E14" s="123"/>
      <c r="F14" s="127" t="s">
        <v>276</v>
      </c>
      <c r="G14" s="123"/>
      <c r="H14" s="127">
        <v>13</v>
      </c>
      <c r="I14" s="123"/>
      <c r="J14" s="123"/>
      <c r="K14" s="123"/>
      <c r="L14" s="123"/>
      <c r="M14" s="123"/>
      <c r="N14" s="123"/>
    </row>
    <row r="15" spans="1:20" x14ac:dyDescent="0.2">
      <c r="A15" s="123"/>
      <c r="B15" s="127" t="s">
        <v>278</v>
      </c>
      <c r="C15" s="123">
        <f>13/3</f>
        <v>4.333333333333333</v>
      </c>
      <c r="D15" s="125" t="s">
        <v>279</v>
      </c>
      <c r="E15" s="123"/>
      <c r="F15" s="127" t="s">
        <v>280</v>
      </c>
      <c r="G15" s="123"/>
      <c r="H15" s="127">
        <v>14</v>
      </c>
      <c r="I15" s="123"/>
      <c r="J15" s="123"/>
      <c r="K15" s="123"/>
      <c r="L15" s="123"/>
      <c r="M15" s="123"/>
      <c r="N15" s="123"/>
    </row>
    <row r="16" spans="1:20" x14ac:dyDescent="0.2">
      <c r="A16" s="123"/>
      <c r="B16" s="127" t="s">
        <v>282</v>
      </c>
      <c r="C16" s="123">
        <v>1</v>
      </c>
      <c r="D16" s="128">
        <v>0.1</v>
      </c>
      <c r="E16" s="123"/>
      <c r="F16" s="127" t="s">
        <v>283</v>
      </c>
      <c r="G16" s="123"/>
      <c r="H16" s="127">
        <v>15</v>
      </c>
      <c r="I16" s="123"/>
      <c r="J16" s="123"/>
      <c r="K16" s="123"/>
      <c r="L16" s="123"/>
      <c r="M16" s="123"/>
      <c r="N16" s="123"/>
    </row>
    <row r="17" spans="1:14" x14ac:dyDescent="0.2">
      <c r="A17" s="123"/>
      <c r="B17" s="127" t="s">
        <v>55</v>
      </c>
      <c r="C17" s="123">
        <v>1</v>
      </c>
      <c r="D17" s="128">
        <v>0.2</v>
      </c>
      <c r="E17" s="123"/>
      <c r="F17" s="127" t="s">
        <v>285</v>
      </c>
      <c r="G17" s="123"/>
      <c r="H17" s="127">
        <v>16</v>
      </c>
      <c r="I17" s="123"/>
      <c r="J17" s="123"/>
      <c r="K17" s="123"/>
      <c r="L17" s="123"/>
      <c r="M17" s="123"/>
      <c r="N17" s="123"/>
    </row>
    <row r="18" spans="1:14" x14ac:dyDescent="0.2">
      <c r="A18" s="123"/>
      <c r="B18" s="127" t="s">
        <v>287</v>
      </c>
      <c r="C18" s="123">
        <v>1</v>
      </c>
      <c r="D18" s="128">
        <v>0.3</v>
      </c>
      <c r="E18" s="123"/>
      <c r="F18" s="127" t="s">
        <v>288</v>
      </c>
      <c r="G18" s="123"/>
      <c r="H18" s="127">
        <v>17</v>
      </c>
      <c r="I18" s="123"/>
      <c r="J18" s="123"/>
      <c r="K18" s="123"/>
      <c r="L18" s="123"/>
      <c r="M18" s="123"/>
      <c r="N18" s="123"/>
    </row>
    <row r="19" spans="1:14" x14ac:dyDescent="0.2">
      <c r="A19" s="123"/>
      <c r="B19" s="127" t="s">
        <v>290</v>
      </c>
      <c r="C19" s="123"/>
      <c r="D19" s="128">
        <v>0.4</v>
      </c>
      <c r="E19" s="123"/>
      <c r="F19" s="127" t="s">
        <v>291</v>
      </c>
      <c r="G19" s="123"/>
      <c r="H19" s="127">
        <v>18</v>
      </c>
      <c r="I19" s="123"/>
      <c r="J19" s="123"/>
      <c r="K19" s="123"/>
      <c r="L19" s="123"/>
      <c r="M19" s="123"/>
      <c r="N19" s="123"/>
    </row>
    <row r="20" spans="1:14" x14ac:dyDescent="0.2">
      <c r="A20" s="123"/>
      <c r="B20" s="123"/>
      <c r="C20" s="123"/>
      <c r="D20" s="128">
        <v>0.5</v>
      </c>
      <c r="E20" s="123"/>
      <c r="F20" s="123"/>
      <c r="G20" s="123"/>
      <c r="H20" s="127">
        <v>19</v>
      </c>
      <c r="I20" s="123"/>
      <c r="J20" s="123"/>
      <c r="K20" s="123"/>
      <c r="L20" s="123"/>
      <c r="M20" s="123"/>
      <c r="N20" s="123"/>
    </row>
    <row r="21" spans="1:14" x14ac:dyDescent="0.2">
      <c r="A21" s="123"/>
      <c r="B21" s="125" t="s">
        <v>292</v>
      </c>
      <c r="C21" s="123"/>
      <c r="D21" s="128">
        <v>0.6</v>
      </c>
      <c r="E21" s="123"/>
      <c r="F21" s="123"/>
      <c r="G21" s="123"/>
      <c r="H21" s="127">
        <v>20</v>
      </c>
      <c r="I21" s="123"/>
      <c r="J21" s="123"/>
      <c r="K21" s="123"/>
      <c r="L21" s="123"/>
      <c r="M21" s="123"/>
      <c r="N21" s="123"/>
    </row>
    <row r="22" spans="1:14" x14ac:dyDescent="0.2">
      <c r="A22" s="123"/>
      <c r="B22" s="127" t="s">
        <v>278</v>
      </c>
      <c r="C22" s="123"/>
      <c r="D22" s="128">
        <v>0.7</v>
      </c>
      <c r="E22" s="123"/>
      <c r="F22" s="123"/>
      <c r="G22" s="123"/>
      <c r="H22" s="123"/>
      <c r="I22" s="123"/>
      <c r="J22" s="123"/>
      <c r="K22" s="123"/>
      <c r="L22" s="123"/>
      <c r="M22" s="123"/>
      <c r="N22" s="123"/>
    </row>
    <row r="23" spans="1:14" x14ac:dyDescent="0.2">
      <c r="A23" s="123"/>
      <c r="B23" s="127" t="s">
        <v>282</v>
      </c>
      <c r="C23" s="123"/>
      <c r="D23" s="128">
        <v>0.8</v>
      </c>
      <c r="E23" s="123"/>
      <c r="F23" s="123"/>
      <c r="G23" s="123"/>
      <c r="H23" s="125" t="s">
        <v>196</v>
      </c>
      <c r="I23" s="123"/>
      <c r="J23" s="123"/>
      <c r="K23" s="123"/>
      <c r="L23" s="123"/>
      <c r="M23" s="123"/>
      <c r="N23" s="123"/>
    </row>
    <row r="24" spans="1:14" x14ac:dyDescent="0.2">
      <c r="A24" s="123"/>
      <c r="B24" s="123"/>
      <c r="C24" s="123"/>
      <c r="D24" s="128">
        <v>0.9</v>
      </c>
      <c r="E24" s="123"/>
      <c r="F24" s="123"/>
      <c r="G24" s="123"/>
      <c r="H24" s="127" t="s">
        <v>277</v>
      </c>
      <c r="I24" s="123"/>
      <c r="J24" s="123"/>
      <c r="K24" s="123"/>
      <c r="L24" s="123"/>
      <c r="M24" s="123"/>
      <c r="N24" s="123"/>
    </row>
    <row r="25" spans="1:14" x14ac:dyDescent="0.2">
      <c r="A25" s="123"/>
      <c r="B25" s="126" t="s">
        <v>238</v>
      </c>
      <c r="C25" s="123"/>
      <c r="D25" s="128">
        <v>1</v>
      </c>
      <c r="E25" s="123"/>
      <c r="F25" s="123"/>
      <c r="G25" s="123"/>
      <c r="H25" s="127" t="s">
        <v>281</v>
      </c>
      <c r="I25" s="123"/>
      <c r="J25" s="123"/>
      <c r="K25" s="123"/>
      <c r="L25" s="123"/>
      <c r="M25" s="123"/>
      <c r="N25" s="123"/>
    </row>
    <row r="26" spans="1:14" ht="15" x14ac:dyDescent="0.2">
      <c r="B26" s="131">
        <v>0.21</v>
      </c>
      <c r="H26" s="127" t="s">
        <v>284</v>
      </c>
    </row>
    <row r="27" spans="1:14" ht="15" x14ac:dyDescent="0.2">
      <c r="B27" s="131">
        <v>0.06</v>
      </c>
      <c r="H27" s="127" t="s">
        <v>286</v>
      </c>
    </row>
    <row r="28" spans="1:14" ht="15" x14ac:dyDescent="0.2">
      <c r="B28" s="131">
        <v>0.09</v>
      </c>
      <c r="H28" s="127" t="s">
        <v>289</v>
      </c>
    </row>
    <row r="29" spans="1:14" ht="15" x14ac:dyDescent="0.2">
      <c r="B29" s="131">
        <v>0</v>
      </c>
      <c r="H29" s="123"/>
    </row>
    <row r="30" spans="1:14" x14ac:dyDescent="0.2">
      <c r="H30" s="123"/>
    </row>
    <row r="31" spans="1:14" x14ac:dyDescent="0.2">
      <c r="H31" s="123"/>
    </row>
    <row r="32" spans="1:14" x14ac:dyDescent="0.2">
      <c r="H32" s="123"/>
    </row>
    <row r="33" spans="8:8" x14ac:dyDescent="0.2">
      <c r="H33" s="123"/>
    </row>
    <row r="34" spans="8:8" x14ac:dyDescent="0.2">
      <c r="H34" s="123"/>
    </row>
    <row r="35" spans="8:8" x14ac:dyDescent="0.2">
      <c r="H35" s="123"/>
    </row>
  </sheetData>
  <sheetProtection algorithmName="SHA-512" hashValue="NBxzGbApj//p45MDD5sKhNYUcfr8+7ySSoSnowtJeCYb/GszgC6hzOqyyzeHo9Kn0zIJNlr8SMsPA2m1ufBpFA==" saltValue="iBnoUT00fgwUg+Cj37Dq+A==" spinCount="100000" sheet="1" objects="1" scenarios="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232572"/>
    <pageSetUpPr fitToPage="1"/>
  </sheetPr>
  <dimension ref="A1:H93"/>
  <sheetViews>
    <sheetView zoomScale="90" zoomScaleNormal="90" zoomScaleSheetLayoutView="70" workbookViewId="0">
      <selection activeCell="F10" sqref="F10"/>
    </sheetView>
  </sheetViews>
  <sheetFormatPr defaultRowHeight="15" x14ac:dyDescent="0.25"/>
  <cols>
    <col min="1" max="1" width="10" style="1" bestFit="1" customWidth="1"/>
    <col min="2" max="2" width="3.140625" style="1" customWidth="1"/>
    <col min="3" max="3" width="39.5703125" style="1" bestFit="1" customWidth="1"/>
    <col min="4" max="5" width="18.7109375" style="1" customWidth="1"/>
    <col min="6" max="6" width="20.42578125" style="1" bestFit="1" customWidth="1"/>
    <col min="7" max="7" width="18.7109375" style="1" customWidth="1"/>
    <col min="8" max="8" width="3.140625" style="1" customWidth="1"/>
    <col min="9" max="9" width="42.7109375" style="1" customWidth="1"/>
    <col min="10" max="10" width="18.7109375" style="1" customWidth="1"/>
    <col min="11" max="11" width="11.7109375" style="1" customWidth="1"/>
    <col min="12" max="16384" width="9.140625" style="1"/>
  </cols>
  <sheetData>
    <row r="1" spans="1:7" x14ac:dyDescent="0.25">
      <c r="A1" s="4"/>
      <c r="B1" s="4"/>
      <c r="C1" s="147" t="s">
        <v>198</v>
      </c>
    </row>
    <row r="2" spans="1:7" ht="31.5" x14ac:dyDescent="0.5">
      <c r="A2" s="147" t="s">
        <v>200</v>
      </c>
      <c r="B2" s="4"/>
      <c r="C2" s="431" t="s">
        <v>415</v>
      </c>
      <c r="D2" s="431"/>
      <c r="E2" s="431"/>
      <c r="F2" s="431"/>
      <c r="G2" s="431"/>
    </row>
    <row r="3" spans="1:7" ht="31.5" x14ac:dyDescent="0.5">
      <c r="B3" s="4"/>
      <c r="C3" s="431" t="s">
        <v>416</v>
      </c>
      <c r="D3" s="431"/>
      <c r="E3" s="431"/>
      <c r="F3" s="431"/>
      <c r="G3" s="431"/>
    </row>
    <row r="4" spans="1:7" x14ac:dyDescent="0.25">
      <c r="B4" s="4"/>
    </row>
    <row r="5" spans="1:7" x14ac:dyDescent="0.25">
      <c r="B5" s="4"/>
    </row>
    <row r="6" spans="1:7" ht="14.25" customHeight="1" x14ac:dyDescent="0.25">
      <c r="B6" s="4"/>
      <c r="C6" s="106"/>
      <c r="D6" s="106"/>
      <c r="E6" s="106"/>
      <c r="G6" s="37"/>
    </row>
    <row r="7" spans="1:7" ht="14.25" customHeight="1" x14ac:dyDescent="0.25">
      <c r="B7" s="4"/>
      <c r="C7" s="236"/>
      <c r="D7" s="444" t="s">
        <v>330</v>
      </c>
      <c r="E7" s="444"/>
      <c r="F7" s="237" t="s">
        <v>225</v>
      </c>
      <c r="G7" s="434" t="s">
        <v>2</v>
      </c>
    </row>
    <row r="8" spans="1:7" ht="14.25" customHeight="1" x14ac:dyDescent="0.25">
      <c r="B8" s="4"/>
      <c r="C8" s="238" t="s">
        <v>130</v>
      </c>
      <c r="D8" s="239" t="s">
        <v>221</v>
      </c>
      <c r="E8" s="239" t="s">
        <v>222</v>
      </c>
      <c r="F8" s="240" t="s">
        <v>331</v>
      </c>
      <c r="G8" s="435"/>
    </row>
    <row r="9" spans="1:7" ht="14.25" customHeight="1" x14ac:dyDescent="0.25">
      <c r="B9" s="4"/>
      <c r="C9" s="241" t="s">
        <v>464</v>
      </c>
      <c r="D9" s="242" t="s">
        <v>462</v>
      </c>
      <c r="E9" s="242"/>
      <c r="F9" s="242"/>
      <c r="G9" s="243">
        <f t="shared" ref="G9" si="0">SUM(D9:F9)</f>
        <v>0</v>
      </c>
    </row>
    <row r="10" spans="1:7" ht="14.25" customHeight="1" x14ac:dyDescent="0.25">
      <c r="B10" s="4"/>
      <c r="C10" s="241" t="s">
        <v>129</v>
      </c>
      <c r="D10" s="242" t="s">
        <v>462</v>
      </c>
      <c r="E10" s="242"/>
      <c r="F10" s="242"/>
      <c r="G10" s="243">
        <f t="shared" ref="G10:G15" si="1">SUM(D10:F10)</f>
        <v>0</v>
      </c>
    </row>
    <row r="11" spans="1:7" ht="14.25" customHeight="1" x14ac:dyDescent="0.25">
      <c r="B11" s="4"/>
      <c r="C11" s="241" t="s">
        <v>8</v>
      </c>
      <c r="D11" s="242"/>
      <c r="E11" s="242"/>
      <c r="F11" s="242"/>
      <c r="G11" s="243">
        <f t="shared" si="1"/>
        <v>0</v>
      </c>
    </row>
    <row r="12" spans="1:7" ht="14.25" customHeight="1" x14ac:dyDescent="0.25">
      <c r="B12" s="4"/>
      <c r="C12" s="241" t="s">
        <v>9</v>
      </c>
      <c r="D12" s="242"/>
      <c r="E12" s="242"/>
      <c r="F12" s="242"/>
      <c r="G12" s="243">
        <f t="shared" si="1"/>
        <v>0</v>
      </c>
    </row>
    <row r="13" spans="1:7" ht="14.25" customHeight="1" x14ac:dyDescent="0.25">
      <c r="B13" s="4"/>
      <c r="C13" s="241" t="s">
        <v>10</v>
      </c>
      <c r="D13" s="242"/>
      <c r="E13" s="242"/>
      <c r="F13" s="242"/>
      <c r="G13" s="243">
        <f t="shared" si="1"/>
        <v>0</v>
      </c>
    </row>
    <row r="14" spans="1:7" ht="14.25" customHeight="1" x14ac:dyDescent="0.25">
      <c r="B14" s="4"/>
      <c r="C14" s="241" t="s">
        <v>301</v>
      </c>
      <c r="D14" s="242"/>
      <c r="E14" s="242"/>
      <c r="F14" s="242"/>
      <c r="G14" s="243">
        <f t="shared" si="1"/>
        <v>0</v>
      </c>
    </row>
    <row r="15" spans="1:7" ht="14.25" customHeight="1" x14ac:dyDescent="0.25">
      <c r="B15" s="4"/>
      <c r="C15" s="241" t="s">
        <v>273</v>
      </c>
      <c r="D15" s="242"/>
      <c r="E15" s="242"/>
      <c r="F15" s="242"/>
      <c r="G15" s="243">
        <f t="shared" si="1"/>
        <v>0</v>
      </c>
    </row>
    <row r="16" spans="1:7" ht="14.25" customHeight="1" x14ac:dyDescent="0.25">
      <c r="B16" s="4"/>
    </row>
    <row r="17" spans="2:8" ht="14.25" customHeight="1" x14ac:dyDescent="0.25">
      <c r="B17" s="4"/>
      <c r="C17" s="245" t="s">
        <v>296</v>
      </c>
      <c r="D17" s="246"/>
      <c r="E17" s="246"/>
      <c r="F17" s="247"/>
      <c r="G17" s="248"/>
    </row>
    <row r="18" spans="2:8" ht="14.25" customHeight="1" x14ac:dyDescent="0.25">
      <c r="B18" s="4"/>
      <c r="C18" s="241" t="s">
        <v>439</v>
      </c>
      <c r="D18" s="242"/>
      <c r="E18" s="242"/>
      <c r="F18" s="242"/>
      <c r="G18" s="243">
        <f t="shared" ref="G18:G24" si="2">SUM(D18:F18)</f>
        <v>0</v>
      </c>
      <c r="H18" s="171" t="str">
        <f>IF(F18:F174,"* Verwerk je nog aan te schaffen startvoorraad op het tabblad inkoop","")</f>
        <v/>
      </c>
    </row>
    <row r="19" spans="2:8" ht="14.25" customHeight="1" x14ac:dyDescent="0.25">
      <c r="B19" s="4"/>
      <c r="C19" s="241" t="s">
        <v>440</v>
      </c>
      <c r="D19" s="242"/>
      <c r="E19" s="242"/>
      <c r="F19" s="242"/>
      <c r="G19" s="243">
        <f t="shared" si="2"/>
        <v>0</v>
      </c>
      <c r="H19" s="171" t="str">
        <f>IF(F19:F175,"* Verwerk je nog aan te schaffen startvoorraad op het tabblad inkoop","")</f>
        <v/>
      </c>
    </row>
    <row r="20" spans="2:8" ht="14.25" customHeight="1" x14ac:dyDescent="0.25">
      <c r="B20" s="4"/>
      <c r="C20" s="241" t="s">
        <v>441</v>
      </c>
      <c r="D20" s="242"/>
      <c r="E20" s="242"/>
      <c r="F20" s="242"/>
      <c r="G20" s="243">
        <f t="shared" si="2"/>
        <v>0</v>
      </c>
      <c r="H20" s="171" t="str">
        <f>IF(F20:F176,"* Verwerk je nog aan te schaffen startvoorraad op het tabblad inkoop","")</f>
        <v/>
      </c>
    </row>
    <row r="21" spans="2:8" ht="14.25" customHeight="1" x14ac:dyDescent="0.25">
      <c r="B21" s="4"/>
      <c r="C21" s="241" t="s">
        <v>297</v>
      </c>
      <c r="D21" s="244"/>
      <c r="E21" s="244"/>
      <c r="F21" s="242"/>
      <c r="G21" s="243">
        <f t="shared" si="2"/>
        <v>0</v>
      </c>
    </row>
    <row r="22" spans="2:8" ht="14.25" customHeight="1" x14ac:dyDescent="0.25">
      <c r="B22" s="4"/>
      <c r="C22" s="241" t="s">
        <v>298</v>
      </c>
      <c r="D22" s="244"/>
      <c r="E22" s="244"/>
      <c r="F22" s="242"/>
      <c r="G22" s="243">
        <f t="shared" si="2"/>
        <v>0</v>
      </c>
    </row>
    <row r="23" spans="2:8" ht="14.25" customHeight="1" x14ac:dyDescent="0.25">
      <c r="B23" s="4"/>
      <c r="C23" s="241" t="s">
        <v>438</v>
      </c>
      <c r="D23" s="244"/>
      <c r="E23" s="244"/>
      <c r="F23" s="243">
        <f>(SUM(F10:F15)+F21)*Liquiditeit!$E$6</f>
        <v>0</v>
      </c>
      <c r="G23" s="243">
        <f t="shared" si="2"/>
        <v>0</v>
      </c>
    </row>
    <row r="24" spans="2:8" ht="14.25" customHeight="1" x14ac:dyDescent="0.25">
      <c r="B24" s="4"/>
      <c r="C24" s="241" t="s">
        <v>299</v>
      </c>
      <c r="D24" s="244"/>
      <c r="E24" s="244"/>
      <c r="F24" s="242"/>
      <c r="G24" s="243">
        <f t="shared" si="2"/>
        <v>0</v>
      </c>
    </row>
    <row r="25" spans="2:8" ht="14.25" customHeight="1" x14ac:dyDescent="0.25">
      <c r="B25" s="4"/>
    </row>
    <row r="26" spans="2:8" ht="14.25" customHeight="1" x14ac:dyDescent="0.25">
      <c r="B26" s="4"/>
      <c r="C26" s="236" t="s">
        <v>195</v>
      </c>
      <c r="D26" s="249">
        <f>SUM(D9:D20)</f>
        <v>0</v>
      </c>
      <c r="E26" s="249">
        <f>SUM(E9:E20)</f>
        <v>0</v>
      </c>
      <c r="F26" s="249">
        <f>SUM(F9:F24)</f>
        <v>0</v>
      </c>
      <c r="G26" s="250">
        <f>SUM(G9:G24)</f>
        <v>0</v>
      </c>
      <c r="H26" s="106"/>
    </row>
    <row r="27" spans="2:8" ht="14.25" customHeight="1" x14ac:dyDescent="0.25">
      <c r="B27" s="4"/>
      <c r="D27" s="103"/>
      <c r="E27" s="103"/>
      <c r="F27" s="104"/>
      <c r="G27" s="42"/>
      <c r="H27" s="101"/>
    </row>
    <row r="28" spans="2:8" ht="13.5" customHeight="1" x14ac:dyDescent="0.25">
      <c r="B28" s="4"/>
      <c r="D28" s="103"/>
      <c r="E28" s="103"/>
      <c r="F28" s="104"/>
      <c r="G28" s="42"/>
    </row>
    <row r="29" spans="2:8" ht="14.25" customHeight="1" x14ac:dyDescent="0.25">
      <c r="B29" s="4"/>
      <c r="C29" s="432" t="s">
        <v>302</v>
      </c>
      <c r="D29" s="433"/>
      <c r="E29" s="251"/>
    </row>
    <row r="30" spans="2:8" ht="14.25" customHeight="1" x14ac:dyDescent="0.25">
      <c r="B30" s="4"/>
      <c r="C30" s="442" t="s">
        <v>308</v>
      </c>
      <c r="D30" s="443"/>
      <c r="E30" s="252">
        <f>D26</f>
        <v>0</v>
      </c>
    </row>
    <row r="31" spans="2:8" ht="14.25" customHeight="1" x14ac:dyDescent="0.25">
      <c r="B31" s="4"/>
      <c r="C31" s="436" t="s">
        <v>300</v>
      </c>
      <c r="D31" s="437"/>
      <c r="E31" s="253"/>
    </row>
    <row r="32" spans="2:8" x14ac:dyDescent="0.25">
      <c r="B32" s="4"/>
      <c r="C32" s="436" t="s">
        <v>430</v>
      </c>
      <c r="D32" s="437"/>
      <c r="E32" s="252">
        <f>E26-E31</f>
        <v>0</v>
      </c>
    </row>
    <row r="33" spans="2:5" x14ac:dyDescent="0.25">
      <c r="B33" s="4"/>
      <c r="C33" s="440" t="s">
        <v>303</v>
      </c>
      <c r="D33" s="441"/>
      <c r="E33" s="254">
        <f>SUM(E30:E32)</f>
        <v>0</v>
      </c>
    </row>
    <row r="34" spans="2:5" x14ac:dyDescent="0.25">
      <c r="B34" s="4"/>
    </row>
    <row r="35" spans="2:5" x14ac:dyDescent="0.25">
      <c r="B35" s="4"/>
      <c r="C35" s="438" t="s">
        <v>304</v>
      </c>
      <c r="D35" s="439"/>
      <c r="E35" s="255"/>
    </row>
    <row r="36" spans="2:5" x14ac:dyDescent="0.25">
      <c r="B36" s="4"/>
      <c r="C36" s="436" t="s">
        <v>307</v>
      </c>
      <c r="D36" s="437"/>
      <c r="E36" s="253"/>
    </row>
    <row r="37" spans="2:5" x14ac:dyDescent="0.25">
      <c r="B37" s="4"/>
      <c r="C37" s="436" t="s">
        <v>300</v>
      </c>
      <c r="D37" s="437"/>
      <c r="E37" s="253"/>
    </row>
    <row r="38" spans="2:5" x14ac:dyDescent="0.25">
      <c r="B38" s="4"/>
      <c r="C38" s="436" t="s">
        <v>431</v>
      </c>
      <c r="D38" s="437"/>
      <c r="E38" s="253"/>
    </row>
    <row r="39" spans="2:5" x14ac:dyDescent="0.25">
      <c r="B39" s="4"/>
      <c r="C39" s="436" t="s">
        <v>224</v>
      </c>
      <c r="D39" s="437"/>
      <c r="E39" s="252">
        <f>IF(F26-E36-E37-E38&lt;0,0,F26-E36-E37-E38)</f>
        <v>0</v>
      </c>
    </row>
    <row r="40" spans="2:5" x14ac:dyDescent="0.25">
      <c r="B40" s="4"/>
      <c r="C40" s="442" t="s">
        <v>306</v>
      </c>
      <c r="D40" s="443"/>
      <c r="E40" s="254">
        <f>SUM(E36:E39)</f>
        <v>0</v>
      </c>
    </row>
    <row r="41" spans="2:5" x14ac:dyDescent="0.25">
      <c r="B41" s="4"/>
    </row>
    <row r="42" spans="2:5" x14ac:dyDescent="0.25">
      <c r="B42" s="4"/>
      <c r="C42" s="432" t="s">
        <v>305</v>
      </c>
      <c r="D42" s="433"/>
      <c r="E42" s="250">
        <f>E33+E40</f>
        <v>0</v>
      </c>
    </row>
    <row r="43" spans="2:5" x14ac:dyDescent="0.25">
      <c r="B43" s="4"/>
      <c r="C43" s="171" t="s">
        <v>154</v>
      </c>
    </row>
    <row r="44" spans="2:5" x14ac:dyDescent="0.25">
      <c r="B44" s="4"/>
      <c r="C44" s="171"/>
    </row>
    <row r="45" spans="2:5" ht="30" customHeight="1" x14ac:dyDescent="0.25">
      <c r="B45" s="4"/>
      <c r="C45" s="452" t="s">
        <v>210</v>
      </c>
      <c r="D45" s="453"/>
      <c r="E45" s="260">
        <f ca="1">E51</f>
        <v>45166</v>
      </c>
    </row>
    <row r="46" spans="2:5" x14ac:dyDescent="0.25">
      <c r="B46" s="4"/>
    </row>
    <row r="47" spans="2:5" x14ac:dyDescent="0.25">
      <c r="B47" s="4"/>
      <c r="D47" s="50"/>
    </row>
    <row r="48" spans="2:5" x14ac:dyDescent="0.25">
      <c r="B48" s="4"/>
      <c r="C48" s="236" t="s">
        <v>104</v>
      </c>
      <c r="D48" s="262"/>
      <c r="E48" s="411" t="str">
        <f>IF(AND(E49=250000,E39&gt;E49),"Maximum bereikt","")</f>
        <v/>
      </c>
    </row>
    <row r="49" spans="2:7" x14ac:dyDescent="0.25">
      <c r="B49" s="4"/>
      <c r="C49" s="263" t="s">
        <v>432</v>
      </c>
      <c r="D49" s="264"/>
      <c r="E49" s="254">
        <f>IF(E39&gt;250000,250000,E39)</f>
        <v>0</v>
      </c>
      <c r="F49" s="103"/>
    </row>
    <row r="50" spans="2:7" x14ac:dyDescent="0.25">
      <c r="B50" s="4"/>
      <c r="C50" s="256" t="s">
        <v>429</v>
      </c>
      <c r="D50" s="265"/>
      <c r="E50" s="257">
        <v>5</v>
      </c>
    </row>
    <row r="51" spans="2:7" x14ac:dyDescent="0.25">
      <c r="B51" s="4"/>
      <c r="C51" s="256" t="s">
        <v>209</v>
      </c>
      <c r="D51" s="265"/>
      <c r="E51" s="258">
        <f ca="1">IF(YEAR(TODAY()+42)&lt;Intro!$B$4,DATE(2018,1,1),TODAY()+42)</f>
        <v>45166</v>
      </c>
    </row>
    <row r="52" spans="2:7" x14ac:dyDescent="0.25">
      <c r="B52" s="4"/>
      <c r="C52" s="256" t="s">
        <v>433</v>
      </c>
      <c r="D52" s="266"/>
      <c r="E52" s="257">
        <v>3</v>
      </c>
    </row>
    <row r="53" spans="2:7" x14ac:dyDescent="0.25">
      <c r="B53" s="4"/>
      <c r="C53" s="256" t="s">
        <v>434</v>
      </c>
      <c r="D53" s="266"/>
      <c r="E53" s="269" t="s">
        <v>436</v>
      </c>
    </row>
    <row r="54" spans="2:7" x14ac:dyDescent="0.25">
      <c r="B54" s="4"/>
      <c r="F54" s="149"/>
      <c r="G54" s="149"/>
    </row>
    <row r="55" spans="2:7" x14ac:dyDescent="0.25">
      <c r="B55" s="4"/>
      <c r="C55" s="450" t="s">
        <v>223</v>
      </c>
      <c r="D55" s="451"/>
      <c r="E55" s="262"/>
      <c r="F55" s="149"/>
      <c r="G55" s="149"/>
    </row>
    <row r="56" spans="2:7" x14ac:dyDescent="0.25">
      <c r="B56" s="4"/>
      <c r="C56" s="448" t="s">
        <v>337</v>
      </c>
      <c r="D56" s="449"/>
      <c r="E56" s="270">
        <f>IF(E49&gt;50000,0.0875,0.0975)</f>
        <v>9.7500000000000003E-2</v>
      </c>
      <c r="F56" s="149"/>
      <c r="G56" s="149"/>
    </row>
    <row r="57" spans="2:7" x14ac:dyDescent="0.25">
      <c r="B57" s="4"/>
      <c r="C57" s="448" t="str">
        <f>'Qredits maandlasten'!$E$4&amp;" ***"</f>
        <v>Bedrag annuïteit ***</v>
      </c>
      <c r="D57" s="449"/>
      <c r="E57" s="271">
        <f>'Qredits maandlasten'!$H$4</f>
        <v>0</v>
      </c>
      <c r="F57" s="149"/>
      <c r="G57" s="149"/>
    </row>
    <row r="58" spans="2:7" x14ac:dyDescent="0.25">
      <c r="B58" s="4"/>
      <c r="C58" s="148" t="s">
        <v>338</v>
      </c>
      <c r="D58" s="149"/>
    </row>
    <row r="59" spans="2:7" x14ac:dyDescent="0.25">
      <c r="B59" s="4"/>
      <c r="C59" s="148" t="s">
        <v>339</v>
      </c>
      <c r="D59" s="149"/>
    </row>
    <row r="60" spans="2:7" x14ac:dyDescent="0.25">
      <c r="B60" s="4"/>
      <c r="C60" s="148"/>
      <c r="D60" s="149"/>
    </row>
    <row r="61" spans="2:7" x14ac:dyDescent="0.25">
      <c r="B61" s="4"/>
      <c r="C61" s="148"/>
      <c r="D61" s="149"/>
    </row>
    <row r="62" spans="2:7" x14ac:dyDescent="0.25">
      <c r="B62" s="4"/>
      <c r="C62" s="81"/>
    </row>
    <row r="63" spans="2:7" ht="344.25" customHeight="1" x14ac:dyDescent="0.25">
      <c r="B63" s="4"/>
      <c r="C63" s="445" t="s">
        <v>329</v>
      </c>
      <c r="D63" s="446"/>
      <c r="E63" s="446"/>
      <c r="F63" s="447"/>
    </row>
    <row r="64" spans="2:7" x14ac:dyDescent="0.25">
      <c r="B64" s="4"/>
      <c r="C64" s="147" t="s">
        <v>197</v>
      </c>
      <c r="D64" s="105"/>
    </row>
    <row r="65" spans="2:6" x14ac:dyDescent="0.25">
      <c r="B65" s="4"/>
      <c r="E65" s="105"/>
      <c r="F65" s="105"/>
    </row>
    <row r="66" spans="2:6" ht="14.25" customHeight="1" x14ac:dyDescent="0.25">
      <c r="B66" s="4"/>
    </row>
    <row r="67" spans="2:6" x14ac:dyDescent="0.25">
      <c r="B67" s="4"/>
    </row>
    <row r="68" spans="2:6" x14ac:dyDescent="0.25">
      <c r="B68" s="4"/>
    </row>
    <row r="69" spans="2:6" x14ac:dyDescent="0.25">
      <c r="B69" s="4"/>
    </row>
    <row r="70" spans="2:6" x14ac:dyDescent="0.25">
      <c r="B70" s="4"/>
    </row>
    <row r="71" spans="2:6" x14ac:dyDescent="0.25">
      <c r="B71" s="4"/>
    </row>
    <row r="72" spans="2:6" x14ac:dyDescent="0.25">
      <c r="B72" s="4"/>
    </row>
    <row r="73" spans="2:6" x14ac:dyDescent="0.25">
      <c r="B73" s="4"/>
    </row>
    <row r="74" spans="2:6" x14ac:dyDescent="0.25">
      <c r="B74" s="4"/>
    </row>
    <row r="75" spans="2:6" x14ac:dyDescent="0.25">
      <c r="B75" s="4"/>
    </row>
    <row r="76" spans="2:6" x14ac:dyDescent="0.25">
      <c r="B76" s="4"/>
    </row>
    <row r="77" spans="2:6" x14ac:dyDescent="0.25">
      <c r="B77" s="4"/>
    </row>
    <row r="78" spans="2:6" x14ac:dyDescent="0.25">
      <c r="B78" s="4"/>
    </row>
    <row r="79" spans="2:6" x14ac:dyDescent="0.25">
      <c r="B79" s="4"/>
    </row>
    <row r="80" spans="2:6" x14ac:dyDescent="0.25">
      <c r="B80" s="4"/>
    </row>
    <row r="81" spans="2:2" x14ac:dyDescent="0.25">
      <c r="B81" s="4"/>
    </row>
    <row r="82" spans="2:2" x14ac:dyDescent="0.25">
      <c r="B82" s="4"/>
    </row>
    <row r="83" spans="2:2" x14ac:dyDescent="0.25">
      <c r="B83" s="4"/>
    </row>
    <row r="84" spans="2:2" x14ac:dyDescent="0.25">
      <c r="B84" s="4"/>
    </row>
    <row r="85" spans="2:2" x14ac:dyDescent="0.25">
      <c r="B85" s="4"/>
    </row>
    <row r="86" spans="2:2" x14ac:dyDescent="0.25">
      <c r="B86" s="4"/>
    </row>
    <row r="87" spans="2:2" x14ac:dyDescent="0.25">
      <c r="B87" s="4"/>
    </row>
    <row r="88" spans="2:2" x14ac:dyDescent="0.25">
      <c r="B88" s="4"/>
    </row>
    <row r="89" spans="2:2" x14ac:dyDescent="0.25">
      <c r="B89" s="4"/>
    </row>
    <row r="90" spans="2:2" x14ac:dyDescent="0.25">
      <c r="B90" s="4"/>
    </row>
    <row r="91" spans="2:2" x14ac:dyDescent="0.25">
      <c r="B91" s="4"/>
    </row>
    <row r="92" spans="2:2" x14ac:dyDescent="0.25">
      <c r="B92" s="4"/>
    </row>
    <row r="93" spans="2:2" x14ac:dyDescent="0.25">
      <c r="B93" s="4"/>
    </row>
  </sheetData>
  <sheetProtection algorithmName="SHA-512" hashValue="69ha1HjgwGM28aMH0Sr/T1VVB3dze+F47qomta51/CZgIGkS9xd/vcNG2Z9Mp8sODi+TsVmjxFhxpcCzn28wrw==" saltValue="qpSnJafjm37atfMb+SQdmA==" spinCount="100000" sheet="1" objects="1" scenarios="1" formatColumns="0"/>
  <customSheetViews>
    <customSheetView guid="{E8D2897D-F373-4833-ABA9-6A8879B86992}" fitToPage="1" hiddenRows="1" topLeftCell="D1">
      <selection activeCell="C3" sqref="C3:F3"/>
      <pageMargins left="0.74803149606299213" right="0.74803149606299213" top="0.98425196850393704" bottom="0.98425196850393704" header="0.51181102362204722" footer="0.51181102362204722"/>
      <pageSetup paperSize="9" scale="70" orientation="landscape" r:id="rId1"/>
      <headerFooter alignWithMargins="0"/>
    </customSheetView>
  </customSheetViews>
  <mergeCells count="21">
    <mergeCell ref="C63:F63"/>
    <mergeCell ref="C56:D56"/>
    <mergeCell ref="C55:D55"/>
    <mergeCell ref="C57:D57"/>
    <mergeCell ref="C38:D38"/>
    <mergeCell ref="C45:D45"/>
    <mergeCell ref="C2:G2"/>
    <mergeCell ref="C3:G3"/>
    <mergeCell ref="C42:D42"/>
    <mergeCell ref="G7:G8"/>
    <mergeCell ref="C37:D37"/>
    <mergeCell ref="C35:D35"/>
    <mergeCell ref="C31:D31"/>
    <mergeCell ref="C32:D32"/>
    <mergeCell ref="C33:D33"/>
    <mergeCell ref="C29:D29"/>
    <mergeCell ref="C30:D30"/>
    <mergeCell ref="D7:E7"/>
    <mergeCell ref="C36:D36"/>
    <mergeCell ref="C39:D39"/>
    <mergeCell ref="C40:D40"/>
  </mergeCells>
  <phoneticPr fontId="2" type="noConversion"/>
  <dataValidations count="5">
    <dataValidation type="date" allowBlank="1" showInputMessage="1" showErrorMessage="1" error="Vul een toekomstige datum in!" promptTitle="Vul een toekomstige datum in." prompt="Houdt rekening met de doorlooptijd van een aanvraag Qredits. Deze ligt in de meeste gevallen tussen de vier en zes weken (uitzonderingen voorbehouden)." sqref="E51" xr:uid="{00000000-0002-0000-0100-000000000000}">
      <formula1>TODAY()</formula1>
      <formula2>73415</formula2>
    </dataValidation>
    <dataValidation type="date" allowBlank="1" showInputMessage="1" showErrorMessage="1" error="Vul een toekomstige datum in!" promptTitle="Vul een toekomstige datum in." prompt="Vul de datum in wanneer je het geld van de &quot;Nieuwe Financieringen Elders&quot; verwacht te ontvangen." sqref="E45" xr:uid="{00000000-0002-0000-0100-000001000000}">
      <formula1>TODAY()</formula1>
      <formula2>73415</formula2>
    </dataValidation>
    <dataValidation type="list" allowBlank="1" showInputMessage="1" showErrorMessage="1" sqref="E50" xr:uid="{00000000-0002-0000-0100-000002000000}">
      <formula1>Looptijd</formula1>
    </dataValidation>
    <dataValidation type="list" allowBlank="1" showInputMessage="1" showErrorMessage="1" sqref="E52" xr:uid="{00000000-0002-0000-0100-000003000000}">
      <formula1>Grace_Period</formula1>
    </dataValidation>
    <dataValidation type="list" allowBlank="1" showInputMessage="1" showErrorMessage="1" sqref="E53" xr:uid="{00000000-0002-0000-0100-000004000000}">
      <formula1>Aflosmethode</formula1>
    </dataValidation>
  </dataValidations>
  <hyperlinks>
    <hyperlink ref="C64" location="'Investering &amp; Financiering'!A1" display="naar boven" xr:uid="{00000000-0004-0000-0100-000000000000}"/>
    <hyperlink ref="A2" r:id="rId2" xr:uid="{00000000-0004-0000-0100-000001000000}"/>
    <hyperlink ref="C1" location="'Investering &amp; Financiering'!C59" display="hoe vul ik dit in?" xr:uid="{00000000-0004-0000-0100-000002000000}"/>
  </hyperlinks>
  <pageMargins left="0.25" right="0.25" top="0.75" bottom="0.75" header="0.3" footer="0.3"/>
  <pageSetup paperSize="9" scale="84" fitToHeight="0"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rgb="FF232572"/>
    <pageSetUpPr fitToPage="1"/>
  </sheetPr>
  <dimension ref="A1:S70"/>
  <sheetViews>
    <sheetView zoomScaleNormal="100" workbookViewId="0">
      <selection activeCell="D22" sqref="D22:E22"/>
    </sheetView>
  </sheetViews>
  <sheetFormatPr defaultRowHeight="15" x14ac:dyDescent="0.25"/>
  <cols>
    <col min="1" max="1" width="14.42578125" style="1" customWidth="1"/>
    <col min="2" max="2" width="3.140625" style="1" customWidth="1"/>
    <col min="3" max="3" width="35" style="1" customWidth="1"/>
    <col min="4" max="4" width="10.140625" style="1" bestFit="1" customWidth="1"/>
    <col min="5" max="5" width="10.42578125" style="1" bestFit="1" customWidth="1"/>
    <col min="6" max="6" width="5" style="1" customWidth="1"/>
    <col min="7" max="7" width="41.7109375" style="1" bestFit="1" customWidth="1"/>
    <col min="8" max="9" width="10" style="1" customWidth="1"/>
    <col min="10" max="10" width="4.28515625" style="1" customWidth="1"/>
    <col min="11" max="11" width="2.7109375" style="1" customWidth="1"/>
    <col min="12" max="16384" width="9.140625" style="1"/>
  </cols>
  <sheetData>
    <row r="1" spans="1:19" x14ac:dyDescent="0.25">
      <c r="A1" s="4"/>
      <c r="B1" s="4"/>
    </row>
    <row r="2" spans="1:19" x14ac:dyDescent="0.25">
      <c r="A2" s="147" t="s">
        <v>200</v>
      </c>
      <c r="B2" s="4"/>
      <c r="S2" s="2"/>
    </row>
    <row r="3" spans="1:19" ht="31.5" x14ac:dyDescent="0.5">
      <c r="C3" s="150" t="s">
        <v>137</v>
      </c>
    </row>
    <row r="4" spans="1:19" ht="14.25" customHeight="1" x14ac:dyDescent="0.25">
      <c r="G4" s="37"/>
    </row>
    <row r="5" spans="1:19" ht="28.5" customHeight="1" x14ac:dyDescent="0.35">
      <c r="C5" s="151" t="s">
        <v>20</v>
      </c>
      <c r="G5" s="151" t="s">
        <v>21</v>
      </c>
      <c r="H5" s="39"/>
      <c r="I5" s="39"/>
    </row>
    <row r="6" spans="1:19" ht="3.75" customHeight="1" x14ac:dyDescent="0.25">
      <c r="A6" s="4"/>
      <c r="B6" s="4"/>
      <c r="D6" s="37"/>
      <c r="E6" s="37"/>
      <c r="F6" s="37"/>
      <c r="G6" s="2"/>
      <c r="H6" s="39"/>
      <c r="I6" s="39"/>
    </row>
    <row r="7" spans="1:19" ht="14.25" customHeight="1" x14ac:dyDescent="0.25">
      <c r="C7" s="236" t="s">
        <v>7</v>
      </c>
      <c r="D7" s="247"/>
      <c r="E7" s="251"/>
      <c r="G7" s="236" t="s">
        <v>15</v>
      </c>
      <c r="H7" s="247"/>
      <c r="I7" s="251"/>
    </row>
    <row r="8" spans="1:19" ht="14.25" customHeight="1" x14ac:dyDescent="0.25">
      <c r="C8" s="272" t="str">
        <f>'Investering &amp; Financiering'!C9</f>
        <v>Aankoop onroerend goed</v>
      </c>
      <c r="D8" s="454">
        <f>'Investering &amp; Financiering'!G9</f>
        <v>0</v>
      </c>
      <c r="E8" s="455"/>
      <c r="F8" s="75"/>
      <c r="G8" s="272" t="s">
        <v>153</v>
      </c>
      <c r="H8" s="454">
        <f>'Investering &amp; Financiering'!E30</f>
        <v>0</v>
      </c>
      <c r="I8" s="455"/>
    </row>
    <row r="9" spans="1:19" ht="14.25" customHeight="1" x14ac:dyDescent="0.25">
      <c r="C9" s="272" t="str">
        <f>'Investering &amp; Financiering'!C10</f>
        <v xml:space="preserve">Verbouwing </v>
      </c>
      <c r="D9" s="454">
        <f>'Investering &amp; Financiering'!G10</f>
        <v>0</v>
      </c>
      <c r="E9" s="455"/>
      <c r="F9" s="75"/>
      <c r="G9" s="272" t="s">
        <v>310</v>
      </c>
      <c r="H9" s="454">
        <f>'Investering &amp; Financiering'!E36</f>
        <v>0</v>
      </c>
      <c r="I9" s="455"/>
    </row>
    <row r="10" spans="1:19" ht="14.25" customHeight="1" x14ac:dyDescent="0.25">
      <c r="C10" s="272" t="str">
        <f>'Investering &amp; Financiering'!C11</f>
        <v>Inventaris en inrichting</v>
      </c>
      <c r="D10" s="454">
        <f>'Investering &amp; Financiering'!G11</f>
        <v>0</v>
      </c>
      <c r="E10" s="455"/>
      <c r="F10" s="132"/>
      <c r="G10" s="272" t="s">
        <v>309</v>
      </c>
      <c r="H10" s="454">
        <f>'Investering &amp; Financiering'!E31+'Investering &amp; Financiering'!E37</f>
        <v>0</v>
      </c>
      <c r="I10" s="455"/>
    </row>
    <row r="11" spans="1:19" ht="14.25" customHeight="1" x14ac:dyDescent="0.25">
      <c r="C11" s="272" t="str">
        <f>'Investering &amp; Financiering'!C12</f>
        <v>Computer en software</v>
      </c>
      <c r="D11" s="454">
        <f>'Investering &amp; Financiering'!G12</f>
        <v>0</v>
      </c>
      <c r="E11" s="455"/>
      <c r="F11" s="132"/>
      <c r="G11" s="273" t="s">
        <v>16</v>
      </c>
      <c r="H11" s="460">
        <f>SUM(H8:I10)</f>
        <v>0</v>
      </c>
      <c r="I11" s="461"/>
    </row>
    <row r="12" spans="1:19" ht="14.25" customHeight="1" x14ac:dyDescent="0.25">
      <c r="C12" s="272" t="str">
        <f>'Investering &amp; Financiering'!C13</f>
        <v>Transportmiddel</v>
      </c>
      <c r="D12" s="454">
        <f>'Investering &amp; Financiering'!G13</f>
        <v>0</v>
      </c>
      <c r="E12" s="455"/>
      <c r="F12" s="132"/>
      <c r="G12" s="76"/>
      <c r="H12" s="133"/>
      <c r="I12" s="133"/>
    </row>
    <row r="13" spans="1:19" ht="14.25" customHeight="1" x14ac:dyDescent="0.25">
      <c r="C13" s="272" t="str">
        <f>'Investering &amp; Financiering'!C14</f>
        <v>Goodwill / franchisefee / Huurgarantie</v>
      </c>
      <c r="D13" s="454">
        <f>'Investering &amp; Financiering'!G14</f>
        <v>0</v>
      </c>
      <c r="E13" s="455"/>
      <c r="F13" s="132"/>
      <c r="G13" s="277" t="s">
        <v>23</v>
      </c>
      <c r="H13" s="277"/>
      <c r="I13" s="277"/>
    </row>
    <row r="14" spans="1:19" ht="14.25" customHeight="1" x14ac:dyDescent="0.25">
      <c r="C14" s="272" t="str">
        <f>'Investering &amp; Financiering'!C15</f>
        <v>Overig</v>
      </c>
      <c r="D14" s="454">
        <f>'Investering &amp; Financiering'!G15</f>
        <v>0</v>
      </c>
      <c r="E14" s="455"/>
      <c r="F14" s="132"/>
      <c r="G14" s="275" t="s">
        <v>131</v>
      </c>
      <c r="H14" s="456"/>
      <c r="I14" s="456"/>
    </row>
    <row r="15" spans="1:19" ht="14.25" customHeight="1" x14ac:dyDescent="0.25">
      <c r="C15" s="273" t="s">
        <v>11</v>
      </c>
      <c r="D15" s="466">
        <f>SUM(D8:D14)</f>
        <v>0</v>
      </c>
      <c r="E15" s="467"/>
      <c r="F15" s="132"/>
      <c r="G15" s="275" t="s">
        <v>50</v>
      </c>
      <c r="H15" s="456"/>
      <c r="I15" s="456"/>
    </row>
    <row r="16" spans="1:19" ht="14.25" customHeight="1" x14ac:dyDescent="0.25">
      <c r="C16" s="75"/>
      <c r="D16" s="133"/>
      <c r="E16" s="133"/>
      <c r="F16" s="132"/>
      <c r="G16" s="275" t="s">
        <v>90</v>
      </c>
      <c r="H16" s="462">
        <f>'Investering &amp; Financiering'!E49</f>
        <v>0</v>
      </c>
      <c r="I16" s="462"/>
    </row>
    <row r="17" spans="1:19" ht="14.25" customHeight="1" x14ac:dyDescent="0.25">
      <c r="C17" s="277" t="s">
        <v>12</v>
      </c>
      <c r="D17" s="277"/>
      <c r="E17" s="277"/>
      <c r="F17" s="132"/>
      <c r="G17" s="275" t="s">
        <v>340</v>
      </c>
      <c r="H17" s="456">
        <f>'Investering &amp; Financiering'!E32+'Investering &amp; Financiering'!E38</f>
        <v>0</v>
      </c>
      <c r="I17" s="456"/>
    </row>
    <row r="18" spans="1:19" ht="14.25" customHeight="1" x14ac:dyDescent="0.25">
      <c r="C18" s="274" t="s">
        <v>262</v>
      </c>
      <c r="D18" s="468">
        <f>SUM('Investering &amp; Financiering'!G18:G20)</f>
        <v>0</v>
      </c>
      <c r="E18" s="468"/>
      <c r="F18" s="132"/>
      <c r="G18" s="275" t="s">
        <v>51</v>
      </c>
      <c r="H18" s="456"/>
      <c r="I18" s="456"/>
    </row>
    <row r="19" spans="1:19" ht="14.25" customHeight="1" x14ac:dyDescent="0.25">
      <c r="C19" s="274" t="str">
        <f>'Investering &amp; Financiering'!C21</f>
        <v>Promotie- en aanloopkosten</v>
      </c>
      <c r="D19" s="468">
        <f>'Investering &amp; Financiering'!G21</f>
        <v>0</v>
      </c>
      <c r="E19" s="468"/>
      <c r="F19" s="132"/>
      <c r="G19" s="275" t="s">
        <v>52</v>
      </c>
      <c r="H19" s="456"/>
      <c r="I19" s="456"/>
    </row>
    <row r="20" spans="1:19" ht="14.25" customHeight="1" x14ac:dyDescent="0.25">
      <c r="C20" s="274" t="str">
        <f>'Investering &amp; Financiering'!C22</f>
        <v>Debiteuren (overbrugging)</v>
      </c>
      <c r="D20" s="468">
        <f>'Investering &amp; Financiering'!G22</f>
        <v>0</v>
      </c>
      <c r="E20" s="468"/>
      <c r="F20" s="132"/>
      <c r="G20" s="275" t="s">
        <v>53</v>
      </c>
      <c r="H20" s="456"/>
      <c r="I20" s="456"/>
    </row>
    <row r="21" spans="1:19" ht="14.25" customHeight="1" x14ac:dyDescent="0.25">
      <c r="C21" s="274" t="str">
        <f>'Investering &amp; Financiering'!C24</f>
        <v>Kas (reserve)</v>
      </c>
      <c r="D21" s="468">
        <f>'Investering &amp; Financiering'!G24+'Investering &amp; Financiering'!G23</f>
        <v>0</v>
      </c>
      <c r="E21" s="468"/>
      <c r="F21" s="132"/>
      <c r="G21" s="275" t="s">
        <v>54</v>
      </c>
      <c r="H21" s="456"/>
      <c r="I21" s="456"/>
    </row>
    <row r="22" spans="1:19" ht="14.25" customHeight="1" x14ac:dyDescent="0.25">
      <c r="C22" s="276" t="s">
        <v>24</v>
      </c>
      <c r="D22" s="463">
        <f>SUM(D18:D21)</f>
        <v>0</v>
      </c>
      <c r="E22" s="463"/>
      <c r="F22" s="134"/>
      <c r="G22" s="276" t="s">
        <v>132</v>
      </c>
      <c r="H22" s="457">
        <f>SUM(H14:I21)</f>
        <v>0</v>
      </c>
      <c r="I22" s="457"/>
      <c r="J22" s="153"/>
    </row>
    <row r="23" spans="1:19" ht="14.25" customHeight="1" x14ac:dyDescent="0.25">
      <c r="C23" s="76"/>
      <c r="D23" s="133"/>
      <c r="E23" s="133"/>
      <c r="F23" s="75"/>
      <c r="G23" s="75"/>
      <c r="H23" s="75"/>
      <c r="I23" s="75"/>
    </row>
    <row r="24" spans="1:19" ht="14.25" customHeight="1" x14ac:dyDescent="0.25">
      <c r="C24" s="278" t="s">
        <v>26</v>
      </c>
      <c r="D24" s="464">
        <f>D15+D22</f>
        <v>0</v>
      </c>
      <c r="E24" s="465"/>
      <c r="F24" s="75"/>
      <c r="G24" s="278" t="s">
        <v>27</v>
      </c>
      <c r="H24" s="458">
        <f>H22+H11</f>
        <v>0</v>
      </c>
      <c r="I24" s="459"/>
    </row>
    <row r="25" spans="1:19" ht="14.25" customHeight="1" x14ac:dyDescent="0.25">
      <c r="C25" s="2"/>
      <c r="D25" s="46"/>
      <c r="E25" s="46"/>
    </row>
    <row r="26" spans="1:19" x14ac:dyDescent="0.25">
      <c r="C26" s="152" t="s">
        <v>134</v>
      </c>
    </row>
    <row r="27" spans="1:19" x14ac:dyDescent="0.25">
      <c r="C27" s="152" t="s">
        <v>341</v>
      </c>
    </row>
    <row r="28" spans="1:19" hidden="1" x14ac:dyDescent="0.25">
      <c r="A28" s="4"/>
      <c r="S28" s="2"/>
    </row>
    <row r="29" spans="1:19" ht="35.25" hidden="1" customHeight="1" x14ac:dyDescent="0.25">
      <c r="B29" s="14"/>
      <c r="C29" s="15"/>
      <c r="D29" s="15"/>
      <c r="E29" s="15"/>
      <c r="F29" s="15"/>
      <c r="G29" s="15"/>
      <c r="H29" s="15"/>
      <c r="I29" s="15"/>
      <c r="J29" s="16"/>
    </row>
    <row r="30" spans="1:19" ht="14.25" hidden="1" customHeight="1" x14ac:dyDescent="0.7">
      <c r="B30" s="36"/>
      <c r="C30" s="12" t="s">
        <v>202</v>
      </c>
      <c r="J30" s="18"/>
    </row>
    <row r="31" spans="1:19" ht="28.5" hidden="1" customHeight="1" x14ac:dyDescent="0.25">
      <c r="B31" s="36"/>
      <c r="G31" s="37"/>
      <c r="J31" s="18"/>
    </row>
    <row r="32" spans="1:19" ht="3.75" hidden="1" customHeight="1" x14ac:dyDescent="0.4">
      <c r="A32" s="4"/>
      <c r="B32" s="36"/>
      <c r="C32" s="5" t="s">
        <v>20</v>
      </c>
      <c r="G32" s="5" t="s">
        <v>21</v>
      </c>
      <c r="H32" s="39"/>
      <c r="I32" s="39"/>
      <c r="J32" s="18"/>
    </row>
    <row r="33" spans="2:10" ht="14.25" hidden="1" customHeight="1" x14ac:dyDescent="0.25">
      <c r="B33" s="17"/>
      <c r="D33" s="37"/>
      <c r="E33" s="37"/>
      <c r="F33" s="37"/>
      <c r="G33" s="2"/>
      <c r="H33" s="39"/>
      <c r="I33" s="39"/>
      <c r="J33" s="18"/>
    </row>
    <row r="34" spans="2:10" ht="14.25" hidden="1" customHeight="1" x14ac:dyDescent="0.25">
      <c r="B34" s="36"/>
      <c r="C34" s="40" t="s">
        <v>7</v>
      </c>
      <c r="D34" s="40">
        <v>2011</v>
      </c>
      <c r="E34" s="40">
        <v>2012</v>
      </c>
      <c r="G34" s="40" t="s">
        <v>15</v>
      </c>
      <c r="H34" s="40">
        <v>2011</v>
      </c>
      <c r="I34" s="40">
        <v>2012</v>
      </c>
      <c r="J34" s="18"/>
    </row>
    <row r="35" spans="2:10" ht="14.25" hidden="1" customHeight="1" thickBot="1" x14ac:dyDescent="0.3">
      <c r="B35" s="36"/>
      <c r="C35" s="61" t="s">
        <v>49</v>
      </c>
      <c r="D35" s="83" t="e">
        <f>D9-#REF!</f>
        <v>#REF!</v>
      </c>
      <c r="E35" s="83" t="e">
        <f>D35-#REF!</f>
        <v>#REF!</v>
      </c>
      <c r="G35" s="62" t="s">
        <v>22</v>
      </c>
      <c r="H35" s="84">
        <f ca="1">H8+Exploitatie!F35</f>
        <v>0</v>
      </c>
      <c r="I35" s="84">
        <f ca="1">H35+Exploitatie!G35</f>
        <v>0</v>
      </c>
      <c r="J35" s="18"/>
    </row>
    <row r="36" spans="2:10" ht="14.25" hidden="1" customHeight="1" thickTop="1" x14ac:dyDescent="0.25">
      <c r="B36" s="36"/>
      <c r="C36" s="61" t="str">
        <f>C10</f>
        <v>Inventaris en inrichting</v>
      </c>
      <c r="D36" s="83" t="e">
        <f>D10-#REF!</f>
        <v>#REF!</v>
      </c>
      <c r="E36" s="83" t="e">
        <f>D36-#REF!</f>
        <v>#REF!</v>
      </c>
      <c r="F36" s="39"/>
      <c r="G36" s="63" t="s">
        <v>16</v>
      </c>
      <c r="H36" s="64">
        <f ca="1">H35</f>
        <v>0</v>
      </c>
      <c r="I36" s="64">
        <f ca="1">I35</f>
        <v>0</v>
      </c>
      <c r="J36" s="18"/>
    </row>
    <row r="37" spans="2:10" ht="14.25" hidden="1" customHeight="1" x14ac:dyDescent="0.25">
      <c r="B37" s="36"/>
      <c r="C37" s="61" t="str">
        <f>C11</f>
        <v>Computer en software</v>
      </c>
      <c r="D37" s="83" t="e">
        <f>D11-#REF!</f>
        <v>#REF!</v>
      </c>
      <c r="E37" s="83" t="e">
        <f>D37-#REF!</f>
        <v>#REF!</v>
      </c>
      <c r="F37" s="39"/>
      <c r="G37" s="65"/>
      <c r="H37" s="41"/>
      <c r="I37" s="41"/>
      <c r="J37" s="18"/>
    </row>
    <row r="38" spans="2:10" ht="14.25" hidden="1" customHeight="1" x14ac:dyDescent="0.25">
      <c r="B38" s="36"/>
      <c r="C38" s="61" t="str">
        <f>C12</f>
        <v>Transportmiddel</v>
      </c>
      <c r="D38" s="83" t="e">
        <f>D12-#REF!</f>
        <v>#REF!</v>
      </c>
      <c r="E38" s="83" t="e">
        <f>D38-#REF!</f>
        <v>#REF!</v>
      </c>
      <c r="F38" s="39"/>
      <c r="G38" s="40" t="s">
        <v>23</v>
      </c>
      <c r="H38" s="41"/>
      <c r="I38" s="41"/>
      <c r="J38" s="18"/>
    </row>
    <row r="39" spans="2:10" ht="14.25" hidden="1" customHeight="1" x14ac:dyDescent="0.25">
      <c r="B39" s="36"/>
      <c r="C39" s="61" t="str">
        <f>C13</f>
        <v>Goodwill / franchisefee / Huurgarantie</v>
      </c>
      <c r="D39" s="83" t="e">
        <f>D13-#REF!</f>
        <v>#REF!</v>
      </c>
      <c r="E39" s="83" t="e">
        <f>D39-#REF!</f>
        <v>#REF!</v>
      </c>
      <c r="F39" s="39"/>
      <c r="G39" s="6" t="s">
        <v>90</v>
      </c>
      <c r="H39" s="83">
        <f ca="1">H15-'Qredits maandlasten'!O19</f>
        <v>0</v>
      </c>
      <c r="I39" s="83">
        <f ca="1">H39-'Qredits maandlasten'!O28</f>
        <v>0</v>
      </c>
      <c r="J39" s="18"/>
    </row>
    <row r="40" spans="2:10" ht="14.25" hidden="1" customHeight="1" x14ac:dyDescent="0.25">
      <c r="B40" s="36"/>
      <c r="C40" s="61" t="s">
        <v>152</v>
      </c>
      <c r="D40" s="83" t="e">
        <f>D14-#REF!</f>
        <v>#REF!</v>
      </c>
      <c r="E40" s="83" t="e">
        <f>D40-#REF!</f>
        <v>#REF!</v>
      </c>
      <c r="F40" s="39"/>
      <c r="G40" s="6" t="s">
        <v>131</v>
      </c>
      <c r="H40" s="10"/>
      <c r="I40" s="10"/>
      <c r="J40" s="18"/>
    </row>
    <row r="41" spans="2:10" ht="14.25" hidden="1" customHeight="1" thickBot="1" x14ac:dyDescent="0.3">
      <c r="B41" s="36"/>
      <c r="C41" s="62" t="e">
        <f>#REF!</f>
        <v>#REF!</v>
      </c>
      <c r="D41" s="84" t="e">
        <f>#REF!-#REF!</f>
        <v>#REF!</v>
      </c>
      <c r="E41" s="84" t="e">
        <f>D41-#REF!</f>
        <v>#REF!</v>
      </c>
      <c r="F41" s="39"/>
      <c r="G41" s="6" t="s">
        <v>89</v>
      </c>
      <c r="H41" s="10"/>
      <c r="I41" s="10"/>
      <c r="J41" s="18"/>
    </row>
    <row r="42" spans="2:10" ht="14.25" hidden="1" customHeight="1" thickTop="1" x14ac:dyDescent="0.25">
      <c r="B42" s="36"/>
      <c r="C42" s="63" t="s">
        <v>11</v>
      </c>
      <c r="D42" s="64" t="e">
        <f>SUM(D35:D41)</f>
        <v>#REF!</v>
      </c>
      <c r="E42" s="64" t="e">
        <f>SUM(E35:E41)</f>
        <v>#REF!</v>
      </c>
      <c r="F42" s="39"/>
      <c r="G42" s="6" t="s">
        <v>50</v>
      </c>
      <c r="H42" s="10"/>
      <c r="I42" s="10"/>
      <c r="J42" s="18"/>
    </row>
    <row r="43" spans="2:10" ht="14.25" hidden="1" customHeight="1" thickBot="1" x14ac:dyDescent="0.3">
      <c r="B43" s="36"/>
      <c r="D43" s="41"/>
      <c r="E43" s="41"/>
      <c r="F43" s="39"/>
      <c r="G43" s="7" t="s">
        <v>133</v>
      </c>
      <c r="H43" s="11">
        <f>H16-Liquiditeit!Q38</f>
        <v>0</v>
      </c>
      <c r="I43" s="11">
        <f>H43-Liquiditeit!Q76</f>
        <v>0</v>
      </c>
      <c r="J43" s="18"/>
    </row>
    <row r="44" spans="2:10" ht="14.25" hidden="1" customHeight="1" thickTop="1" x14ac:dyDescent="0.25">
      <c r="B44" s="36"/>
      <c r="C44" s="40" t="s">
        <v>12</v>
      </c>
      <c r="D44" s="41"/>
      <c r="E44" s="41"/>
      <c r="F44" s="39"/>
      <c r="G44" s="66" t="s">
        <v>88</v>
      </c>
      <c r="H44" s="67">
        <f ca="1">SUM(H39:H43)</f>
        <v>0</v>
      </c>
      <c r="I44" s="67">
        <f ca="1">SUM(I39:I43)</f>
        <v>0</v>
      </c>
      <c r="J44" s="18"/>
    </row>
    <row r="45" spans="2:10" ht="14.25" hidden="1" customHeight="1" x14ac:dyDescent="0.25">
      <c r="B45" s="36"/>
      <c r="C45" s="61" t="s">
        <v>136</v>
      </c>
      <c r="D45" s="83">
        <f ca="1">Inkoop!H36</f>
        <v>0</v>
      </c>
      <c r="E45" s="83">
        <f ca="1">Inkoop!H71</f>
        <v>0</v>
      </c>
      <c r="F45" s="39"/>
      <c r="G45" s="6" t="s">
        <v>51</v>
      </c>
      <c r="H45" s="10"/>
      <c r="I45" s="10"/>
      <c r="J45" s="18"/>
    </row>
    <row r="46" spans="2:10" ht="14.25" hidden="1" customHeight="1" x14ac:dyDescent="0.25">
      <c r="B46" s="36"/>
      <c r="C46" s="61" t="s">
        <v>13</v>
      </c>
      <c r="D46" s="83">
        <f>Verkoop!Q40</f>
        <v>0</v>
      </c>
      <c r="E46" s="83">
        <f>Verkoop!Q70</f>
        <v>0</v>
      </c>
      <c r="F46" s="39"/>
      <c r="G46" s="6" t="s">
        <v>52</v>
      </c>
      <c r="H46" s="83">
        <f>Inkoop!Q44</f>
        <v>0</v>
      </c>
      <c r="I46" s="83">
        <f>Inkoop!Q79</f>
        <v>0</v>
      </c>
      <c r="J46" s="18"/>
    </row>
    <row r="47" spans="2:10" ht="14.25" hidden="1" customHeight="1" x14ac:dyDescent="0.25">
      <c r="B47" s="36"/>
      <c r="C47" s="61" t="s">
        <v>54</v>
      </c>
      <c r="D47" s="83">
        <f ca="1">IF(Liquiditeit!E72&lt;0,-Liquiditeit!E72,0)</f>
        <v>0</v>
      </c>
      <c r="E47" s="83">
        <f ca="1">IF(Liquiditeit!E106&lt;0,-Liquiditeit!E106,0)</f>
        <v>0</v>
      </c>
      <c r="F47" s="39"/>
      <c r="G47" s="6" t="s">
        <v>53</v>
      </c>
      <c r="H47" s="10"/>
      <c r="I47" s="10"/>
      <c r="J47" s="18"/>
    </row>
    <row r="48" spans="2:10" ht="14.25" hidden="1" customHeight="1" x14ac:dyDescent="0.25">
      <c r="B48" s="36"/>
      <c r="C48" s="61" t="s">
        <v>14</v>
      </c>
      <c r="D48" s="83">
        <f ca="1">Liquiditeit!P45</f>
        <v>0</v>
      </c>
      <c r="E48" s="83">
        <f ca="1">Liquiditeit!P83</f>
        <v>0</v>
      </c>
      <c r="F48" s="39"/>
      <c r="G48" s="6" t="s">
        <v>54</v>
      </c>
      <c r="H48" s="83">
        <f ca="1">IF(Liquiditeit!E72&gt;0,Liquiditeit!E72,0)</f>
        <v>0</v>
      </c>
      <c r="I48" s="83">
        <f ca="1">IF(Liquiditeit!E106&gt;0,Liquiditeit!E106,0)</f>
        <v>0</v>
      </c>
      <c r="J48" s="18"/>
    </row>
    <row r="49" spans="2:10" ht="14.25" hidden="1" customHeight="1" thickBot="1" x14ac:dyDescent="0.3">
      <c r="B49" s="36"/>
      <c r="C49" s="61"/>
      <c r="D49" s="83"/>
      <c r="E49" s="83"/>
      <c r="F49" s="39"/>
      <c r="G49" s="7" t="s">
        <v>108</v>
      </c>
      <c r="H49" s="11"/>
      <c r="I49" s="11"/>
      <c r="J49" s="18"/>
    </row>
    <row r="50" spans="2:10" ht="14.25" hidden="1" customHeight="1" thickTop="1" thickBot="1" x14ac:dyDescent="0.3">
      <c r="B50" s="36"/>
      <c r="C50" s="62"/>
      <c r="D50" s="84"/>
      <c r="E50" s="84"/>
      <c r="F50" s="47"/>
      <c r="G50" s="66" t="s">
        <v>25</v>
      </c>
      <c r="H50" s="67">
        <f ca="1">SUM(H45:H49)</f>
        <v>0</v>
      </c>
      <c r="I50" s="67">
        <f ca="1">SUM(I45:I49)</f>
        <v>0</v>
      </c>
      <c r="J50" s="18"/>
    </row>
    <row r="51" spans="2:10" ht="14.25" hidden="1" customHeight="1" thickTop="1" x14ac:dyDescent="0.25">
      <c r="B51" s="36"/>
      <c r="C51" s="63" t="s">
        <v>24</v>
      </c>
      <c r="D51" s="64">
        <f ca="1">SUM(D45:D50)</f>
        <v>0</v>
      </c>
      <c r="E51" s="64">
        <f ca="1">SUM(E45:E50)</f>
        <v>0</v>
      </c>
      <c r="F51" s="47"/>
      <c r="G51" s="68" t="s">
        <v>132</v>
      </c>
      <c r="H51" s="69">
        <f ca="1">H44+H50</f>
        <v>0</v>
      </c>
      <c r="I51" s="69">
        <f ca="1">I44+I50</f>
        <v>0</v>
      </c>
      <c r="J51" s="82"/>
    </row>
    <row r="52" spans="2:10" ht="14.25" hidden="1" customHeight="1" x14ac:dyDescent="0.25">
      <c r="B52" s="36"/>
      <c r="C52" s="65"/>
      <c r="D52" s="41"/>
      <c r="E52" s="41"/>
      <c r="J52" s="18"/>
    </row>
    <row r="53" spans="2:10" ht="14.25" hidden="1" customHeight="1" x14ac:dyDescent="0.25">
      <c r="B53" s="36"/>
      <c r="C53" s="70" t="s">
        <v>26</v>
      </c>
      <c r="D53" s="71" t="e">
        <f ca="1">D42+D51</f>
        <v>#REF!</v>
      </c>
      <c r="E53" s="71" t="e">
        <f ca="1">E42+E51</f>
        <v>#REF!</v>
      </c>
      <c r="G53" s="70" t="s">
        <v>27</v>
      </c>
      <c r="H53" s="71">
        <f ca="1">H51+H36</f>
        <v>0</v>
      </c>
      <c r="I53" s="71">
        <f ca="1">I51+I36</f>
        <v>0</v>
      </c>
      <c r="J53" s="18"/>
    </row>
    <row r="54" spans="2:10" ht="14.25" hidden="1" customHeight="1" x14ac:dyDescent="0.25">
      <c r="B54" s="48"/>
      <c r="C54" s="34"/>
      <c r="D54" s="107" t="e">
        <f ca="1">D53-H53</f>
        <v>#REF!</v>
      </c>
      <c r="E54" s="107" t="e">
        <f ca="1">E53-I53</f>
        <v>#REF!</v>
      </c>
      <c r="F54" s="33"/>
      <c r="G54" s="33"/>
      <c r="H54" s="33"/>
      <c r="I54" s="33"/>
      <c r="J54" s="35"/>
    </row>
    <row r="55" spans="2:10" ht="14.25" hidden="1" customHeight="1" x14ac:dyDescent="0.25">
      <c r="B55" s="15"/>
      <c r="C55" s="49"/>
      <c r="D55" s="50"/>
      <c r="E55" s="50"/>
      <c r="F55" s="47"/>
      <c r="G55" s="47"/>
      <c r="H55" s="47"/>
      <c r="I55" s="47"/>
      <c r="J55" s="47"/>
    </row>
    <row r="56" spans="2:10" ht="14.25" hidden="1" customHeight="1" x14ac:dyDescent="0.25">
      <c r="B56" s="110"/>
      <c r="C56" s="111"/>
      <c r="D56" s="112"/>
      <c r="E56" s="112"/>
      <c r="F56" s="113"/>
      <c r="G56" s="113"/>
      <c r="H56" s="113"/>
      <c r="I56" s="113"/>
      <c r="J56" s="114"/>
    </row>
    <row r="57" spans="2:10" ht="14.25" hidden="1" customHeight="1" x14ac:dyDescent="0.25">
      <c r="B57" s="115"/>
      <c r="C57" s="51" t="s">
        <v>17</v>
      </c>
      <c r="D57" s="99" t="s">
        <v>18</v>
      </c>
      <c r="E57" s="99" t="s">
        <v>18</v>
      </c>
      <c r="F57" s="53" t="s">
        <v>46</v>
      </c>
      <c r="G57" s="52" t="s">
        <v>47</v>
      </c>
      <c r="H57" s="47"/>
      <c r="I57" s="47"/>
      <c r="J57" s="116"/>
    </row>
    <row r="58" spans="2:10" ht="14.25" hidden="1" customHeight="1" x14ac:dyDescent="0.25">
      <c r="B58" s="115"/>
      <c r="C58" s="38" t="str">
        <f>'Investering &amp; Financiering'!C11</f>
        <v>Inventaris en inrichting</v>
      </c>
      <c r="D58" s="97">
        <f>'Investering &amp; Financiering'!G11</f>
        <v>0</v>
      </c>
      <c r="E58" s="97">
        <f>'Investering &amp; Financiering'!H11</f>
        <v>0</v>
      </c>
      <c r="F58" s="54">
        <v>0.5</v>
      </c>
      <c r="G58" s="55">
        <f t="shared" ref="G58:G66" si="0">D58*F58</f>
        <v>0</v>
      </c>
      <c r="H58" s="47"/>
      <c r="I58" s="47"/>
      <c r="J58" s="116"/>
    </row>
    <row r="59" spans="2:10" ht="14.25" hidden="1" customHeight="1" x14ac:dyDescent="0.25">
      <c r="B59" s="115"/>
      <c r="C59" s="38" t="str">
        <f>'Investering &amp; Financiering'!C12</f>
        <v>Computer en software</v>
      </c>
      <c r="D59" s="97">
        <f>'Investering &amp; Financiering'!G12</f>
        <v>0</v>
      </c>
      <c r="E59" s="97">
        <f>'Investering &amp; Financiering'!H12</f>
        <v>0</v>
      </c>
      <c r="F59" s="54">
        <v>0.35</v>
      </c>
      <c r="G59" s="55">
        <f t="shared" si="0"/>
        <v>0</v>
      </c>
      <c r="H59" s="47"/>
      <c r="I59" s="47"/>
      <c r="J59" s="116"/>
    </row>
    <row r="60" spans="2:10" ht="14.25" hidden="1" customHeight="1" x14ac:dyDescent="0.25">
      <c r="B60" s="115"/>
      <c r="C60" s="38" t="str">
        <f>'Investering &amp; Financiering'!C13</f>
        <v>Transportmiddel</v>
      </c>
      <c r="D60" s="97">
        <f>'Investering &amp; Financiering'!G13</f>
        <v>0</v>
      </c>
      <c r="E60" s="97">
        <f>'Investering &amp; Financiering'!H13</f>
        <v>0</v>
      </c>
      <c r="F60" s="54">
        <v>0.35</v>
      </c>
      <c r="G60" s="55">
        <f t="shared" si="0"/>
        <v>0</v>
      </c>
      <c r="H60" s="47"/>
      <c r="I60" s="47"/>
      <c r="J60" s="116"/>
    </row>
    <row r="61" spans="2:10" ht="14.25" hidden="1" customHeight="1" x14ac:dyDescent="0.25">
      <c r="B61" s="115"/>
      <c r="C61" s="38" t="str">
        <f>'Investering &amp; Financiering'!C14</f>
        <v>Goodwill / franchisefee / Huurgarantie</v>
      </c>
      <c r="D61" s="97">
        <f>'Investering &amp; Financiering'!G14</f>
        <v>0</v>
      </c>
      <c r="E61" s="97">
        <f>'Investering &amp; Financiering'!H14</f>
        <v>0</v>
      </c>
      <c r="F61" s="54">
        <v>0.4</v>
      </c>
      <c r="G61" s="55">
        <f t="shared" si="0"/>
        <v>0</v>
      </c>
      <c r="H61" s="47"/>
      <c r="I61" s="47"/>
      <c r="J61" s="116"/>
    </row>
    <row r="62" spans="2:10" ht="14.25" hidden="1" customHeight="1" x14ac:dyDescent="0.25">
      <c r="B62" s="115"/>
      <c r="C62" s="38" t="e">
        <f>'Investering &amp; Financiering'!#REF!</f>
        <v>#REF!</v>
      </c>
      <c r="D62" s="97" t="e">
        <f>'Investering &amp; Financiering'!#REF!</f>
        <v>#REF!</v>
      </c>
      <c r="E62" s="97" t="e">
        <f>'Investering &amp; Financiering'!#REF!</f>
        <v>#REF!</v>
      </c>
      <c r="F62" s="54">
        <v>1</v>
      </c>
      <c r="G62" s="55" t="e">
        <f t="shared" si="0"/>
        <v>#REF!</v>
      </c>
      <c r="H62" s="47"/>
      <c r="I62" s="47"/>
      <c r="J62" s="116"/>
    </row>
    <row r="63" spans="2:10" ht="14.25" hidden="1" customHeight="1" x14ac:dyDescent="0.25">
      <c r="B63" s="115"/>
      <c r="C63" s="38" t="e">
        <f>'Investering &amp; Financiering'!#REF!</f>
        <v>#REF!</v>
      </c>
      <c r="D63" s="97" t="e">
        <f>'Investering &amp; Financiering'!#REF!</f>
        <v>#REF!</v>
      </c>
      <c r="E63" s="97" t="e">
        <f>'Investering &amp; Financiering'!#REF!</f>
        <v>#REF!</v>
      </c>
      <c r="F63" s="54">
        <v>0.3</v>
      </c>
      <c r="G63" s="55" t="e">
        <f t="shared" si="0"/>
        <v>#REF!</v>
      </c>
      <c r="H63" s="47"/>
      <c r="I63" s="47"/>
      <c r="J63" s="116"/>
    </row>
    <row r="64" spans="2:10" ht="14.25" hidden="1" customHeight="1" x14ac:dyDescent="0.25">
      <c r="B64" s="115"/>
      <c r="C64" s="38" t="e">
        <f>'Investering &amp; Financiering'!#REF!</f>
        <v>#REF!</v>
      </c>
      <c r="D64" s="97" t="e">
        <f>'Investering &amp; Financiering'!#REF!</f>
        <v>#REF!</v>
      </c>
      <c r="E64" s="97" t="e">
        <f>'Investering &amp; Financiering'!#REF!</f>
        <v>#REF!</v>
      </c>
      <c r="F64" s="54">
        <v>0.5</v>
      </c>
      <c r="G64" s="55" t="e">
        <f t="shared" si="0"/>
        <v>#REF!</v>
      </c>
      <c r="H64" s="47"/>
      <c r="I64" s="47"/>
      <c r="J64" s="116"/>
    </row>
    <row r="65" spans="2:10" ht="14.25" hidden="1" customHeight="1" x14ac:dyDescent="0.25">
      <c r="B65" s="115"/>
      <c r="C65" s="38" t="e">
        <f>'Investering &amp; Financiering'!#REF!</f>
        <v>#REF!</v>
      </c>
      <c r="D65" s="97" t="e">
        <f>'Investering &amp; Financiering'!#REF!</f>
        <v>#REF!</v>
      </c>
      <c r="E65" s="97" t="e">
        <f>'Investering &amp; Financiering'!#REF!</f>
        <v>#REF!</v>
      </c>
      <c r="F65" s="54">
        <v>0</v>
      </c>
      <c r="G65" s="55" t="e">
        <f t="shared" si="0"/>
        <v>#REF!</v>
      </c>
      <c r="H65" s="47"/>
      <c r="I65" s="47"/>
      <c r="J65" s="116"/>
    </row>
    <row r="66" spans="2:10" ht="14.25" hidden="1" customHeight="1" thickBot="1" x14ac:dyDescent="0.3">
      <c r="B66" s="115"/>
      <c r="C66" s="43" t="e">
        <f>'Investering &amp; Financiering'!#REF!</f>
        <v>#REF!</v>
      </c>
      <c r="D66" s="98" t="e">
        <f>'Investering &amp; Financiering'!#REF!</f>
        <v>#REF!</v>
      </c>
      <c r="E66" s="98" t="e">
        <f>'Investering &amp; Financiering'!#REF!</f>
        <v>#REF!</v>
      </c>
      <c r="F66" s="56">
        <v>0</v>
      </c>
      <c r="G66" s="57" t="e">
        <f t="shared" si="0"/>
        <v>#REF!</v>
      </c>
      <c r="H66" s="47"/>
      <c r="I66" s="47"/>
      <c r="J66" s="116"/>
    </row>
    <row r="67" spans="2:10" ht="14.25" hidden="1" customHeight="1" thickTop="1" x14ac:dyDescent="0.25">
      <c r="B67" s="115"/>
      <c r="C67" s="8" t="s">
        <v>2</v>
      </c>
      <c r="D67" s="58"/>
      <c r="E67" s="58"/>
      <c r="F67" s="59"/>
      <c r="G67" s="60" t="e">
        <f>SUM(G58:G66)</f>
        <v>#REF!</v>
      </c>
      <c r="H67" s="47"/>
      <c r="I67" s="47"/>
      <c r="J67" s="116"/>
    </row>
    <row r="68" spans="2:10" ht="14.25" hidden="1" customHeight="1" x14ac:dyDescent="0.25">
      <c r="B68" s="115"/>
      <c r="C68" s="44" t="s">
        <v>19</v>
      </c>
      <c r="D68" s="50"/>
      <c r="E68" s="50"/>
      <c r="F68" s="47"/>
      <c r="G68" s="47"/>
      <c r="H68" s="47"/>
      <c r="I68" s="47"/>
      <c r="J68" s="116"/>
    </row>
    <row r="69" spans="2:10" hidden="1" x14ac:dyDescent="0.25">
      <c r="B69" s="117"/>
      <c r="C69" s="118"/>
      <c r="D69" s="119"/>
      <c r="E69" s="119"/>
      <c r="F69" s="120"/>
      <c r="G69" s="120"/>
      <c r="H69" s="121"/>
      <c r="I69" s="121"/>
      <c r="J69" s="122"/>
    </row>
    <row r="70" spans="2:10" hidden="1" x14ac:dyDescent="0.25"/>
  </sheetData>
  <sheetProtection algorithmName="SHA-512" hashValue="mKMzqBQnvqrgUbRj5QORErzJN7Xq7YMmDE/+dIgsbw0CUDnKn/ocvkE6mM71D0CiFJ0oyCzfhV/p+t9RPGr++A==" saltValue="dWfn7EwAAWywEpuiIDHjQw==" spinCount="100000" sheet="1" objects="1" scenarios="1"/>
  <customSheetViews>
    <customSheetView guid="{E8D2897D-F373-4833-ABA9-6A8879B86992}" fitToPage="1">
      <selection activeCell="D9" sqref="D9"/>
      <pageMargins left="0.74803149606299213" right="0.74803149606299213" top="0.98425196850393704" bottom="0.98425196850393704" header="0.51181102362204722" footer="0.51181102362204722"/>
      <pageSetup paperSize="9" scale="70" orientation="landscape" r:id="rId1"/>
      <headerFooter alignWithMargins="0"/>
    </customSheetView>
  </customSheetViews>
  <mergeCells count="28">
    <mergeCell ref="D14:E14"/>
    <mergeCell ref="D9:E9"/>
    <mergeCell ref="D10:E10"/>
    <mergeCell ref="D11:E11"/>
    <mergeCell ref="D12:E12"/>
    <mergeCell ref="D13:E13"/>
    <mergeCell ref="H21:I21"/>
    <mergeCell ref="D15:E15"/>
    <mergeCell ref="D18:E18"/>
    <mergeCell ref="D19:E19"/>
    <mergeCell ref="D20:E20"/>
    <mergeCell ref="D21:E21"/>
    <mergeCell ref="D8:E8"/>
    <mergeCell ref="H17:I17"/>
    <mergeCell ref="H9:I9"/>
    <mergeCell ref="H22:I22"/>
    <mergeCell ref="H24:I24"/>
    <mergeCell ref="H18:I18"/>
    <mergeCell ref="H19:I19"/>
    <mergeCell ref="H20:I20"/>
    <mergeCell ref="H11:I11"/>
    <mergeCell ref="H14:I14"/>
    <mergeCell ref="H15:I15"/>
    <mergeCell ref="H16:I16"/>
    <mergeCell ref="D22:E22"/>
    <mergeCell ref="D24:E24"/>
    <mergeCell ref="H8:I8"/>
    <mergeCell ref="H10:I10"/>
  </mergeCells>
  <phoneticPr fontId="2" type="noConversion"/>
  <hyperlinks>
    <hyperlink ref="A2" r:id="rId2" xr:uid="{00000000-0004-0000-0200-000000000000}"/>
  </hyperlinks>
  <pageMargins left="0.74803149606299213" right="0.74803149606299213" top="0.98425196850393704" bottom="0.98425196850393704" header="0.51181102362204722" footer="0.51181102362204722"/>
  <pageSetup paperSize="9" fitToHeight="0"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32572"/>
  </sheetPr>
  <dimension ref="A1:AN193"/>
  <sheetViews>
    <sheetView topLeftCell="A2" zoomScale="90" zoomScaleNormal="90" workbookViewId="0">
      <pane ySplit="13" topLeftCell="A101" activePane="bottomLeft" state="frozen"/>
      <selection activeCell="A2" sqref="A2"/>
      <selection pane="bottomLeft" activeCell="D7" sqref="D7"/>
    </sheetView>
  </sheetViews>
  <sheetFormatPr defaultRowHeight="15" x14ac:dyDescent="0.25"/>
  <cols>
    <col min="1" max="1" width="10" style="1" bestFit="1" customWidth="1"/>
    <col min="2" max="2" width="45.85546875" bestFit="1" customWidth="1"/>
    <col min="3" max="4" width="15.7109375" customWidth="1"/>
    <col min="5" max="5" width="8" customWidth="1"/>
    <col min="6" max="6" width="45.7109375" customWidth="1"/>
    <col min="7" max="8" width="15.7109375" customWidth="1"/>
    <col min="10" max="10" width="45.7109375" customWidth="1"/>
    <col min="11" max="12" width="15.7109375" customWidth="1"/>
  </cols>
  <sheetData>
    <row r="1" spans="1:39" x14ac:dyDescent="0.25">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row>
    <row r="2" spans="1:39" x14ac:dyDescent="0.25">
      <c r="A2" s="147" t="s">
        <v>200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39" x14ac:dyDescent="0.25">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row>
    <row r="4" spans="1:39" ht="21" x14ac:dyDescent="0.25">
      <c r="B4" s="167" t="s">
        <v>346</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row>
    <row r="5" spans="1:39" x14ac:dyDescent="0.25">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row>
    <row r="6" spans="1:39" x14ac:dyDescent="0.25">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row>
    <row r="7" spans="1:39" x14ac:dyDescent="0.25">
      <c r="B7" s="312" t="s">
        <v>447</v>
      </c>
      <c r="C7" s="313" t="s">
        <v>448</v>
      </c>
      <c r="D7" s="315" t="s">
        <v>444</v>
      </c>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row>
    <row r="8" spans="1:39" x14ac:dyDescent="0.25">
      <c r="B8" s="312"/>
      <c r="C8" s="313"/>
      <c r="D8" s="40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row>
    <row r="9" spans="1:39" x14ac:dyDescent="0.25">
      <c r="B9" s="312" t="s">
        <v>453</v>
      </c>
      <c r="C9" s="313" t="s">
        <v>448</v>
      </c>
      <c r="D9" s="315" t="s">
        <v>449</v>
      </c>
      <c r="E9" s="317" t="str">
        <f>IF(AND(D7="V.O.F.",D9="Eén"),"Kies voor 'Twee' of 'Meer'.","")</f>
        <v/>
      </c>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row>
    <row r="10" spans="1:39" x14ac:dyDescent="0.25">
      <c r="B10" s="312"/>
      <c r="C10" s="409" t="str">
        <f>IF(AND(OR(D7="V.O.F.",D7="B.V."),D9="Twee"),"Vul de antwoorden op de privé vragen voor beide ondernemers apart in.",IF(AND(OR(D7="V.O.F.",D7="B.V."),D9="Drie"),"Vul de antwoorden op de privé vragen voor max. drie ondernemers apart in.","Vul de antwoorden op de privé vragen in."))</f>
        <v>Vul de antwoorden op de privé vragen in.</v>
      </c>
      <c r="D10" s="313"/>
      <c r="E10" s="353">
        <f>IF(AND(OR($D$7="V.O.F.",$D$7="B.V."),$D$9="Twee"),D95+H95,IF(AND(OR($D$7="V.O.F.",$D$7="B.V."),$D$9="Drie"),D95+H95+L95,D95))</f>
        <v>0</v>
      </c>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row>
    <row r="11" spans="1:39" x14ac:dyDescent="0.25">
      <c r="B11" s="312"/>
      <c r="C11" s="314"/>
      <c r="D11" s="314"/>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row>
    <row r="12" spans="1:39" ht="15.75" x14ac:dyDescent="0.25">
      <c r="B12" s="316" t="str">
        <f>IF(AND(OR($D$7="V.O.F.",$D$7="B.V."),$D$9="Twee"),"1e ondernemer:",IF(AND(OR($D$7="V.O.F.",$D$7="B.V."),$D$9="Drie"),"1e ondernemer:","Ondernemer:"))</f>
        <v>Ondernemer:</v>
      </c>
      <c r="C12" s="166"/>
      <c r="D12" s="166"/>
      <c r="E12" s="166"/>
      <c r="F12" s="316" t="str">
        <f>IF(AND(OR($D$7="V.O.F.",$D$7="B.V."),$D$9="Twee"),"2e ondernemer:",IF(AND(OR($D$7="V.O.F.",$D$7="B.V."),$D$9="Drie"),"2e ondernemer:","Ondernemer:"))</f>
        <v>Ondernemer:</v>
      </c>
      <c r="G12" s="166"/>
      <c r="H12" s="166"/>
      <c r="I12" s="166"/>
      <c r="J12" s="316" t="str">
        <f>IF(AND(OR($D$7="V.O.F.",$D$7="B.V."),$D$9="Twee"),"3e ondernemer:",IF(AND(OR($D$7="V.O.F.",$D$7="B.V."),$D$9="Drie"),"3e ondernemer:","Ondernemer:"))</f>
        <v>Ondernemer:</v>
      </c>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row>
    <row r="13" spans="1:39" x14ac:dyDescent="0.25">
      <c r="B13" s="226" t="s">
        <v>419</v>
      </c>
      <c r="C13" s="154"/>
      <c r="D13" s="155"/>
      <c r="E13" s="155"/>
      <c r="F13" s="226" t="s">
        <v>418</v>
      </c>
      <c r="G13" s="44"/>
      <c r="H13" s="44"/>
      <c r="I13" s="44"/>
      <c r="J13" s="226" t="s">
        <v>420</v>
      </c>
      <c r="K13" s="44"/>
      <c r="L13" s="44"/>
      <c r="M13" s="44"/>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row>
    <row r="14" spans="1:39" ht="15.75" thickBot="1" x14ac:dyDescent="0.3">
      <c r="B14" s="226"/>
      <c r="C14" s="154"/>
      <c r="D14" s="155"/>
      <c r="E14" s="155"/>
      <c r="F14" s="226"/>
      <c r="G14" s="44"/>
      <c r="H14" s="44"/>
      <c r="I14" s="44"/>
      <c r="J14" s="226"/>
      <c r="K14" s="44"/>
      <c r="L14" s="44"/>
      <c r="M14" s="44"/>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row>
    <row r="15" spans="1:39" ht="16.5" thickTop="1" thickBot="1" x14ac:dyDescent="0.3">
      <c r="B15" s="312" t="s">
        <v>458</v>
      </c>
      <c r="C15" s="313" t="s">
        <v>459</v>
      </c>
      <c r="D15" s="404">
        <f>1-H15-L15</f>
        <v>1</v>
      </c>
      <c r="F15" s="312" t="s">
        <v>458</v>
      </c>
      <c r="G15" s="313" t="s">
        <v>460</v>
      </c>
      <c r="H15" s="405">
        <f>IF($D$9="Drie",1/3,IF($D$9="Twee",1/2,0))</f>
        <v>0</v>
      </c>
      <c r="I15" s="44"/>
      <c r="J15" s="312" t="s">
        <v>458</v>
      </c>
      <c r="K15" s="313" t="s">
        <v>460</v>
      </c>
      <c r="L15" s="405">
        <f>IF($D$9="Drie",1/3,0)</f>
        <v>0</v>
      </c>
      <c r="M15" s="44"/>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row>
    <row r="16" spans="1:39" ht="15.75" thickTop="1" x14ac:dyDescent="0.25">
      <c r="B16" s="226"/>
      <c r="C16" s="154"/>
      <c r="D16" s="155"/>
      <c r="E16" s="155"/>
      <c r="F16" s="226"/>
      <c r="G16" s="44"/>
      <c r="H16" s="44"/>
      <c r="I16" s="44"/>
      <c r="J16" s="226"/>
      <c r="K16" s="44"/>
      <c r="L16" s="44"/>
      <c r="M16" s="44"/>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row>
    <row r="17" spans="1:39" x14ac:dyDescent="0.25">
      <c r="B17" s="236" t="s">
        <v>294</v>
      </c>
      <c r="C17" s="319"/>
      <c r="D17" s="251"/>
      <c r="E17" s="226"/>
      <c r="F17" s="236" t="s">
        <v>294</v>
      </c>
      <c r="G17" s="319"/>
      <c r="H17" s="251"/>
      <c r="I17" s="44"/>
      <c r="J17" s="236" t="s">
        <v>294</v>
      </c>
      <c r="K17" s="319"/>
      <c r="L17" s="251"/>
      <c r="M17" s="44"/>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row>
    <row r="18" spans="1:39" x14ac:dyDescent="0.25">
      <c r="B18" s="256" t="s">
        <v>244</v>
      </c>
      <c r="C18" s="320" t="s">
        <v>293</v>
      </c>
      <c r="D18" s="318" t="s">
        <v>245</v>
      </c>
      <c r="E18" s="226"/>
      <c r="F18" s="256" t="s">
        <v>244</v>
      </c>
      <c r="G18" s="320" t="s">
        <v>293</v>
      </c>
      <c r="H18" s="318" t="s">
        <v>245</v>
      </c>
      <c r="I18" s="44"/>
      <c r="J18" s="256" t="s">
        <v>244</v>
      </c>
      <c r="K18" s="320" t="s">
        <v>293</v>
      </c>
      <c r="L18" s="318" t="s">
        <v>245</v>
      </c>
      <c r="M18" s="44"/>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row>
    <row r="19" spans="1:39" x14ac:dyDescent="0.25">
      <c r="B19" s="256" t="s">
        <v>247</v>
      </c>
      <c r="C19" s="320" t="s">
        <v>293</v>
      </c>
      <c r="D19" s="318" t="s">
        <v>245</v>
      </c>
      <c r="E19" s="226"/>
      <c r="F19" s="256" t="s">
        <v>247</v>
      </c>
      <c r="G19" s="320" t="s">
        <v>293</v>
      </c>
      <c r="H19" s="318" t="s">
        <v>245</v>
      </c>
      <c r="I19" s="44"/>
      <c r="J19" s="256" t="s">
        <v>247</v>
      </c>
      <c r="K19" s="320" t="s">
        <v>293</v>
      </c>
      <c r="L19" s="318" t="s">
        <v>245</v>
      </c>
      <c r="M19" s="44"/>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row>
    <row r="20" spans="1:39" x14ac:dyDescent="0.25">
      <c r="B20" s="256" t="s">
        <v>242</v>
      </c>
      <c r="C20" s="320" t="s">
        <v>293</v>
      </c>
      <c r="D20" s="318" t="s">
        <v>248</v>
      </c>
      <c r="E20" s="226"/>
      <c r="F20" s="256" t="s">
        <v>242</v>
      </c>
      <c r="G20" s="320" t="s">
        <v>293</v>
      </c>
      <c r="H20" s="318" t="s">
        <v>248</v>
      </c>
      <c r="I20" s="44"/>
      <c r="J20" s="256" t="s">
        <v>242</v>
      </c>
      <c r="K20" s="320" t="s">
        <v>293</v>
      </c>
      <c r="L20" s="318" t="s">
        <v>248</v>
      </c>
      <c r="M20" s="44"/>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row>
    <row r="21" spans="1:39" x14ac:dyDescent="0.25">
      <c r="B21" s="256" t="s">
        <v>257</v>
      </c>
      <c r="C21" s="320" t="s">
        <v>293</v>
      </c>
      <c r="D21" s="318" t="s">
        <v>245</v>
      </c>
      <c r="E21" s="226"/>
      <c r="F21" s="256" t="s">
        <v>257</v>
      </c>
      <c r="G21" s="320" t="s">
        <v>293</v>
      </c>
      <c r="H21" s="318" t="s">
        <v>245</v>
      </c>
      <c r="I21" s="44"/>
      <c r="J21" s="256" t="s">
        <v>257</v>
      </c>
      <c r="K21" s="320" t="s">
        <v>293</v>
      </c>
      <c r="L21" s="318" t="s">
        <v>245</v>
      </c>
      <c r="M21" s="44"/>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row>
    <row r="22" spans="1:39" x14ac:dyDescent="0.25">
      <c r="B22" s="256" t="s">
        <v>252</v>
      </c>
      <c r="C22" s="320" t="s">
        <v>293</v>
      </c>
      <c r="D22" s="318" t="s">
        <v>245</v>
      </c>
      <c r="E22" s="226"/>
      <c r="F22" s="256" t="s">
        <v>252</v>
      </c>
      <c r="G22" s="320" t="s">
        <v>293</v>
      </c>
      <c r="H22" s="318" t="s">
        <v>245</v>
      </c>
      <c r="I22" s="44"/>
      <c r="J22" s="256" t="s">
        <v>252</v>
      </c>
      <c r="K22" s="320" t="s">
        <v>293</v>
      </c>
      <c r="L22" s="318" t="s">
        <v>245</v>
      </c>
      <c r="M22" s="44"/>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row>
    <row r="23" spans="1:39" x14ac:dyDescent="0.25">
      <c r="B23" s="256" t="s">
        <v>410</v>
      </c>
      <c r="C23" s="320" t="s">
        <v>293</v>
      </c>
      <c r="D23" s="318" t="s">
        <v>245</v>
      </c>
      <c r="E23" s="226"/>
      <c r="F23" s="256" t="s">
        <v>410</v>
      </c>
      <c r="G23" s="320" t="s">
        <v>293</v>
      </c>
      <c r="H23" s="318" t="s">
        <v>245</v>
      </c>
      <c r="I23" s="44"/>
      <c r="J23" s="256" t="s">
        <v>410</v>
      </c>
      <c r="K23" s="320" t="s">
        <v>293</v>
      </c>
      <c r="L23" s="318" t="s">
        <v>245</v>
      </c>
      <c r="M23" s="44"/>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row>
    <row r="24" spans="1:39" x14ac:dyDescent="0.25">
      <c r="B24" s="44"/>
      <c r="C24" s="44"/>
      <c r="D24" s="44"/>
      <c r="E24" s="226"/>
      <c r="F24" s="44"/>
      <c r="G24" s="44"/>
      <c r="H24" s="44"/>
      <c r="I24" s="44"/>
      <c r="J24" s="44"/>
      <c r="K24" s="44"/>
      <c r="L24" s="44"/>
      <c r="M24" s="44"/>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row>
    <row r="25" spans="1:39" x14ac:dyDescent="0.25">
      <c r="B25" s="236" t="s">
        <v>426</v>
      </c>
      <c r="C25" s="319"/>
      <c r="D25" s="251"/>
      <c r="E25" s="226"/>
      <c r="F25" s="236" t="s">
        <v>426</v>
      </c>
      <c r="G25" s="319"/>
      <c r="H25" s="251"/>
      <c r="I25" s="44"/>
      <c r="J25" s="236" t="s">
        <v>426</v>
      </c>
      <c r="K25" s="319"/>
      <c r="L25" s="251"/>
      <c r="M25" s="44"/>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row>
    <row r="26" spans="1:39" x14ac:dyDescent="0.25">
      <c r="B26" s="256" t="s">
        <v>427</v>
      </c>
      <c r="C26" s="320" t="s">
        <v>293</v>
      </c>
      <c r="D26" s="318" t="s">
        <v>245</v>
      </c>
      <c r="E26" s="226"/>
      <c r="F26" s="256" t="s">
        <v>427</v>
      </c>
      <c r="G26" s="320" t="s">
        <v>293</v>
      </c>
      <c r="H26" s="318" t="s">
        <v>245</v>
      </c>
      <c r="I26" s="44"/>
      <c r="J26" s="256" t="s">
        <v>427</v>
      </c>
      <c r="K26" s="320" t="s">
        <v>293</v>
      </c>
      <c r="L26" s="318" t="s">
        <v>245</v>
      </c>
      <c r="M26" s="44"/>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row>
    <row r="27" spans="1:39" x14ac:dyDescent="0.25">
      <c r="B27" s="256" t="s">
        <v>428</v>
      </c>
      <c r="C27" s="320" t="s">
        <v>293</v>
      </c>
      <c r="D27" s="318" t="s">
        <v>245</v>
      </c>
      <c r="E27" s="226"/>
      <c r="F27" s="256" t="s">
        <v>428</v>
      </c>
      <c r="G27" s="320" t="s">
        <v>293</v>
      </c>
      <c r="H27" s="318" t="s">
        <v>245</v>
      </c>
      <c r="I27" s="44"/>
      <c r="J27" s="256" t="s">
        <v>428</v>
      </c>
      <c r="K27" s="320" t="s">
        <v>293</v>
      </c>
      <c r="L27" s="318" t="s">
        <v>245</v>
      </c>
      <c r="M27" s="44"/>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row>
    <row r="28" spans="1:39" x14ac:dyDescent="0.25">
      <c r="B28" s="226"/>
      <c r="C28" s="154"/>
      <c r="D28" s="155"/>
      <c r="E28" s="155"/>
      <c r="F28" s="226"/>
      <c r="G28" s="44"/>
      <c r="H28" s="44"/>
      <c r="I28" s="44"/>
      <c r="J28" s="226"/>
      <c r="K28" s="44"/>
      <c r="L28" s="44"/>
      <c r="M28" s="44"/>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row>
    <row r="29" spans="1:39" x14ac:dyDescent="0.25">
      <c r="B29" s="226"/>
      <c r="C29" s="154"/>
      <c r="D29" s="155"/>
      <c r="E29" s="155"/>
      <c r="F29" s="226"/>
      <c r="G29" s="44"/>
      <c r="H29" s="44"/>
      <c r="I29" s="44"/>
      <c r="J29" s="226"/>
      <c r="K29" s="44"/>
      <c r="L29" s="44"/>
      <c r="M29" s="44"/>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row>
    <row r="30" spans="1:39" ht="15.75" x14ac:dyDescent="0.25">
      <c r="B30" s="329" t="s">
        <v>36</v>
      </c>
      <c r="C30" s="327" t="s">
        <v>347</v>
      </c>
      <c r="D30" s="328" t="s">
        <v>348</v>
      </c>
      <c r="E30" s="158"/>
      <c r="F30" s="329" t="s">
        <v>36</v>
      </c>
      <c r="G30" s="327" t="s">
        <v>347</v>
      </c>
      <c r="H30" s="328" t="s">
        <v>348</v>
      </c>
      <c r="I30" s="156"/>
      <c r="J30" s="329" t="s">
        <v>36</v>
      </c>
      <c r="K30" s="327" t="s">
        <v>347</v>
      </c>
      <c r="L30" s="328" t="s">
        <v>348</v>
      </c>
      <c r="M30" s="15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row>
    <row r="31" spans="1:39" x14ac:dyDescent="0.25">
      <c r="B31" s="154"/>
      <c r="C31" s="154"/>
      <c r="D31" s="155"/>
      <c r="E31" s="158"/>
      <c r="F31" s="154"/>
      <c r="G31" s="154"/>
      <c r="H31" s="155"/>
      <c r="I31" s="44"/>
      <c r="J31" s="154"/>
      <c r="K31" s="154"/>
      <c r="L31" s="155"/>
      <c r="M31" s="44"/>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row>
    <row r="32" spans="1:39" x14ac:dyDescent="0.25">
      <c r="A32" s="4"/>
      <c r="B32" s="157" t="s">
        <v>349</v>
      </c>
      <c r="C32" s="168" t="s">
        <v>295</v>
      </c>
      <c r="D32" s="155"/>
      <c r="E32" s="158"/>
      <c r="F32" s="157" t="s">
        <v>349</v>
      </c>
      <c r="G32" s="168" t="s">
        <v>295</v>
      </c>
      <c r="H32" s="155"/>
      <c r="I32" s="44"/>
      <c r="J32" s="157" t="s">
        <v>349</v>
      </c>
      <c r="K32" s="168" t="s">
        <v>295</v>
      </c>
      <c r="L32" s="155"/>
      <c r="M32" s="44"/>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row>
    <row r="33" spans="1:39" x14ac:dyDescent="0.25">
      <c r="B33" s="321" t="s">
        <v>350</v>
      </c>
      <c r="C33" s="322"/>
      <c r="D33" s="323">
        <f>C33*12</f>
        <v>0</v>
      </c>
      <c r="E33" s="158"/>
      <c r="F33" s="321" t="s">
        <v>350</v>
      </c>
      <c r="G33" s="322"/>
      <c r="H33" s="323">
        <f t="shared" ref="H33:H38" si="0">G33*12</f>
        <v>0</v>
      </c>
      <c r="I33" s="44"/>
      <c r="J33" s="321" t="s">
        <v>350</v>
      </c>
      <c r="K33" s="322"/>
      <c r="L33" s="323">
        <f t="shared" ref="L33:L38" si="1">K33*12</f>
        <v>0</v>
      </c>
      <c r="M33" s="44"/>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row>
    <row r="34" spans="1:39" x14ac:dyDescent="0.25">
      <c r="B34" s="324" t="s">
        <v>342</v>
      </c>
      <c r="C34" s="325"/>
      <c r="D34" s="326">
        <f t="shared" ref="D34:D73" si="2">C34*12</f>
        <v>0</v>
      </c>
      <c r="E34" s="158"/>
      <c r="F34" s="324" t="s">
        <v>342</v>
      </c>
      <c r="G34" s="325"/>
      <c r="H34" s="326">
        <f t="shared" si="0"/>
        <v>0</v>
      </c>
      <c r="I34" s="44"/>
      <c r="J34" s="324" t="s">
        <v>342</v>
      </c>
      <c r="K34" s="325"/>
      <c r="L34" s="326">
        <f t="shared" si="1"/>
        <v>0</v>
      </c>
      <c r="M34" s="44"/>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row>
    <row r="35" spans="1:39" x14ac:dyDescent="0.25">
      <c r="B35" s="324" t="s">
        <v>351</v>
      </c>
      <c r="C35" s="325"/>
      <c r="D35" s="326">
        <f t="shared" si="2"/>
        <v>0</v>
      </c>
      <c r="E35" s="158"/>
      <c r="F35" s="324" t="s">
        <v>351</v>
      </c>
      <c r="G35" s="325"/>
      <c r="H35" s="326">
        <f t="shared" si="0"/>
        <v>0</v>
      </c>
      <c r="I35" s="44"/>
      <c r="J35" s="324" t="s">
        <v>351</v>
      </c>
      <c r="K35" s="325"/>
      <c r="L35" s="326">
        <f t="shared" si="1"/>
        <v>0</v>
      </c>
      <c r="M35" s="44"/>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row>
    <row r="36" spans="1:39" x14ac:dyDescent="0.25">
      <c r="B36" s="324" t="s">
        <v>352</v>
      </c>
      <c r="C36" s="325"/>
      <c r="D36" s="326">
        <f t="shared" si="2"/>
        <v>0</v>
      </c>
      <c r="E36" s="158"/>
      <c r="F36" s="324" t="s">
        <v>352</v>
      </c>
      <c r="G36" s="325"/>
      <c r="H36" s="326">
        <f t="shared" si="0"/>
        <v>0</v>
      </c>
      <c r="I36" s="44"/>
      <c r="J36" s="324" t="s">
        <v>352</v>
      </c>
      <c r="K36" s="325"/>
      <c r="L36" s="326">
        <f t="shared" si="1"/>
        <v>0</v>
      </c>
      <c r="M36" s="44"/>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row>
    <row r="37" spans="1:39" x14ac:dyDescent="0.25">
      <c r="B37" s="324" t="s">
        <v>343</v>
      </c>
      <c r="C37" s="325"/>
      <c r="D37" s="326">
        <f t="shared" si="2"/>
        <v>0</v>
      </c>
      <c r="E37" s="158"/>
      <c r="F37" s="324" t="s">
        <v>343</v>
      </c>
      <c r="G37" s="325"/>
      <c r="H37" s="326">
        <f t="shared" si="0"/>
        <v>0</v>
      </c>
      <c r="I37" s="44"/>
      <c r="J37" s="324" t="s">
        <v>343</v>
      </c>
      <c r="K37" s="325"/>
      <c r="L37" s="326">
        <f t="shared" si="1"/>
        <v>0</v>
      </c>
      <c r="M37" s="44"/>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row>
    <row r="38" spans="1:39" x14ac:dyDescent="0.25">
      <c r="B38" s="324" t="s">
        <v>273</v>
      </c>
      <c r="C38" s="325"/>
      <c r="D38" s="326">
        <f t="shared" si="2"/>
        <v>0</v>
      </c>
      <c r="E38" s="158"/>
      <c r="F38" s="324" t="s">
        <v>273</v>
      </c>
      <c r="G38" s="325"/>
      <c r="H38" s="326">
        <f t="shared" si="0"/>
        <v>0</v>
      </c>
      <c r="I38" s="44"/>
      <c r="J38" s="324" t="s">
        <v>273</v>
      </c>
      <c r="K38" s="325"/>
      <c r="L38" s="326">
        <f t="shared" si="1"/>
        <v>0</v>
      </c>
      <c r="M38" s="44"/>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row>
    <row r="39" spans="1:39" x14ac:dyDescent="0.25">
      <c r="B39" s="157" t="s">
        <v>353</v>
      </c>
      <c r="C39" s="159"/>
      <c r="D39" s="330">
        <f>SUM(D33:D38)</f>
        <v>0</v>
      </c>
      <c r="E39" s="158"/>
      <c r="F39" s="157" t="s">
        <v>353</v>
      </c>
      <c r="G39" s="159"/>
      <c r="H39" s="330">
        <f>SUM(H33:H38)</f>
        <v>0</v>
      </c>
      <c r="I39" s="44"/>
      <c r="J39" s="157" t="s">
        <v>353</v>
      </c>
      <c r="K39" s="159"/>
      <c r="L39" s="330">
        <f>SUM(L33:L38)</f>
        <v>0</v>
      </c>
      <c r="M39" s="44"/>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row>
    <row r="40" spans="1:39" x14ac:dyDescent="0.25">
      <c r="B40" s="160"/>
      <c r="C40" s="161"/>
      <c r="D40" s="161"/>
      <c r="E40" s="158"/>
      <c r="F40" s="160"/>
      <c r="G40" s="161"/>
      <c r="H40" s="161"/>
      <c r="I40" s="44"/>
      <c r="J40" s="160"/>
      <c r="K40" s="161"/>
      <c r="L40" s="161"/>
      <c r="M40" s="44"/>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row>
    <row r="41" spans="1:39" x14ac:dyDescent="0.25">
      <c r="B41" s="157" t="s">
        <v>354</v>
      </c>
      <c r="C41" s="168" t="s">
        <v>295</v>
      </c>
      <c r="D41" s="158"/>
      <c r="E41" s="158"/>
      <c r="F41" s="157" t="s">
        <v>354</v>
      </c>
      <c r="G41" s="168" t="s">
        <v>295</v>
      </c>
      <c r="H41" s="158"/>
      <c r="I41" s="44"/>
      <c r="J41" s="157" t="s">
        <v>354</v>
      </c>
      <c r="K41" s="168" t="s">
        <v>295</v>
      </c>
      <c r="L41" s="158"/>
      <c r="M41" s="44"/>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row>
    <row r="42" spans="1:39" x14ac:dyDescent="0.25">
      <c r="B42" s="321" t="s">
        <v>344</v>
      </c>
      <c r="C42" s="322"/>
      <c r="D42" s="323">
        <f t="shared" si="2"/>
        <v>0</v>
      </c>
      <c r="E42" s="158"/>
      <c r="F42" s="321" t="s">
        <v>344</v>
      </c>
      <c r="G42" s="322"/>
      <c r="H42" s="323">
        <f t="shared" ref="H42:H48" si="3">G42*12</f>
        <v>0</v>
      </c>
      <c r="I42" s="44"/>
      <c r="J42" s="321" t="s">
        <v>344</v>
      </c>
      <c r="K42" s="322"/>
      <c r="L42" s="323">
        <f t="shared" ref="L42:L48" si="4">K42*12</f>
        <v>0</v>
      </c>
      <c r="M42" s="44"/>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row>
    <row r="43" spans="1:39" x14ac:dyDescent="0.25">
      <c r="B43" s="324" t="s">
        <v>355</v>
      </c>
      <c r="C43" s="325"/>
      <c r="D43" s="326">
        <f t="shared" si="2"/>
        <v>0</v>
      </c>
      <c r="E43" s="158"/>
      <c r="F43" s="324" t="s">
        <v>355</v>
      </c>
      <c r="G43" s="325"/>
      <c r="H43" s="326">
        <f t="shared" si="3"/>
        <v>0</v>
      </c>
      <c r="I43" s="44"/>
      <c r="J43" s="324" t="s">
        <v>355</v>
      </c>
      <c r="K43" s="325"/>
      <c r="L43" s="326">
        <f t="shared" si="4"/>
        <v>0</v>
      </c>
      <c r="M43" s="44"/>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row>
    <row r="44" spans="1:39" x14ac:dyDescent="0.25">
      <c r="A44" s="4"/>
      <c r="B44" s="324" t="s">
        <v>356</v>
      </c>
      <c r="C44" s="325"/>
      <c r="D44" s="326">
        <f t="shared" si="2"/>
        <v>0</v>
      </c>
      <c r="E44" s="158"/>
      <c r="F44" s="324" t="s">
        <v>356</v>
      </c>
      <c r="G44" s="325"/>
      <c r="H44" s="326">
        <f t="shared" si="3"/>
        <v>0</v>
      </c>
      <c r="I44" s="44"/>
      <c r="J44" s="324" t="s">
        <v>356</v>
      </c>
      <c r="K44" s="325"/>
      <c r="L44" s="326">
        <f t="shared" si="4"/>
        <v>0</v>
      </c>
      <c r="M44" s="44"/>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row>
    <row r="45" spans="1:39" x14ac:dyDescent="0.25">
      <c r="B45" s="324" t="s">
        <v>357</v>
      </c>
      <c r="C45" s="325"/>
      <c r="D45" s="326">
        <f t="shared" si="2"/>
        <v>0</v>
      </c>
      <c r="E45" s="158"/>
      <c r="F45" s="324" t="s">
        <v>357</v>
      </c>
      <c r="G45" s="325"/>
      <c r="H45" s="326">
        <f t="shared" si="3"/>
        <v>0</v>
      </c>
      <c r="I45" s="44"/>
      <c r="J45" s="324" t="s">
        <v>357</v>
      </c>
      <c r="K45" s="325"/>
      <c r="L45" s="326">
        <f t="shared" si="4"/>
        <v>0</v>
      </c>
      <c r="M45" s="44"/>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row>
    <row r="46" spans="1:39" x14ac:dyDescent="0.25">
      <c r="B46" s="324" t="s">
        <v>358</v>
      </c>
      <c r="C46" s="325"/>
      <c r="D46" s="326">
        <f t="shared" si="2"/>
        <v>0</v>
      </c>
      <c r="E46" s="158"/>
      <c r="F46" s="324" t="s">
        <v>358</v>
      </c>
      <c r="G46" s="325"/>
      <c r="H46" s="326">
        <f t="shared" si="3"/>
        <v>0</v>
      </c>
      <c r="I46" s="44"/>
      <c r="J46" s="324" t="s">
        <v>358</v>
      </c>
      <c r="K46" s="325"/>
      <c r="L46" s="326">
        <f t="shared" si="4"/>
        <v>0</v>
      </c>
      <c r="M46" s="44"/>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row>
    <row r="47" spans="1:39" x14ac:dyDescent="0.25">
      <c r="B47" s="324" t="s">
        <v>359</v>
      </c>
      <c r="C47" s="325"/>
      <c r="D47" s="326">
        <f t="shared" si="2"/>
        <v>0</v>
      </c>
      <c r="E47" s="158"/>
      <c r="F47" s="324" t="s">
        <v>359</v>
      </c>
      <c r="G47" s="325"/>
      <c r="H47" s="326">
        <f t="shared" si="3"/>
        <v>0</v>
      </c>
      <c r="I47" s="44"/>
      <c r="J47" s="324" t="s">
        <v>359</v>
      </c>
      <c r="K47" s="325"/>
      <c r="L47" s="326">
        <f t="shared" si="4"/>
        <v>0</v>
      </c>
      <c r="M47" s="44"/>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row>
    <row r="48" spans="1:39" x14ac:dyDescent="0.25">
      <c r="B48" s="324" t="s">
        <v>273</v>
      </c>
      <c r="C48" s="325"/>
      <c r="D48" s="326">
        <f t="shared" si="2"/>
        <v>0</v>
      </c>
      <c r="E48" s="158"/>
      <c r="F48" s="324" t="s">
        <v>273</v>
      </c>
      <c r="G48" s="325"/>
      <c r="H48" s="326">
        <f t="shared" si="3"/>
        <v>0</v>
      </c>
      <c r="I48" s="44"/>
      <c r="J48" s="324" t="s">
        <v>273</v>
      </c>
      <c r="K48" s="325"/>
      <c r="L48" s="326">
        <f t="shared" si="4"/>
        <v>0</v>
      </c>
      <c r="M48" s="44"/>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row>
    <row r="49" spans="2:39" x14ac:dyDescent="0.25">
      <c r="B49" s="157" t="s">
        <v>360</v>
      </c>
      <c r="C49" s="159"/>
      <c r="D49" s="330">
        <f>SUM(D42:D48)</f>
        <v>0</v>
      </c>
      <c r="E49" s="158"/>
      <c r="F49" s="157" t="s">
        <v>360</v>
      </c>
      <c r="G49" s="159"/>
      <c r="H49" s="330">
        <f>SUM(H42:H48)</f>
        <v>0</v>
      </c>
      <c r="I49" s="44"/>
      <c r="J49" s="157" t="s">
        <v>360</v>
      </c>
      <c r="K49" s="159"/>
      <c r="L49" s="330">
        <f>SUM(L42:L48)</f>
        <v>0</v>
      </c>
      <c r="M49" s="44"/>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row>
    <row r="50" spans="2:39" x14ac:dyDescent="0.25">
      <c r="B50" s="160"/>
      <c r="C50" s="161"/>
      <c r="D50" s="161"/>
      <c r="E50" s="158"/>
      <c r="F50" s="160"/>
      <c r="G50" s="161"/>
      <c r="H50" s="161"/>
      <c r="I50" s="44"/>
      <c r="J50" s="160"/>
      <c r="K50" s="161"/>
      <c r="L50" s="161"/>
      <c r="M50" s="44"/>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row>
    <row r="51" spans="2:39" x14ac:dyDescent="0.25">
      <c r="B51" s="157" t="s">
        <v>361</v>
      </c>
      <c r="C51" s="168" t="s">
        <v>295</v>
      </c>
      <c r="D51" s="158"/>
      <c r="E51" s="158"/>
      <c r="F51" s="157" t="s">
        <v>361</v>
      </c>
      <c r="G51" s="168" t="s">
        <v>295</v>
      </c>
      <c r="H51" s="158"/>
      <c r="I51" s="44"/>
      <c r="J51" s="157" t="s">
        <v>361</v>
      </c>
      <c r="K51" s="168" t="s">
        <v>295</v>
      </c>
      <c r="L51" s="158"/>
      <c r="M51" s="44"/>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row>
    <row r="52" spans="2:39" x14ac:dyDescent="0.25">
      <c r="B52" s="321" t="s">
        <v>362</v>
      </c>
      <c r="C52" s="322"/>
      <c r="D52" s="323">
        <f t="shared" si="2"/>
        <v>0</v>
      </c>
      <c r="E52" s="158"/>
      <c r="F52" s="321" t="s">
        <v>362</v>
      </c>
      <c r="G52" s="322"/>
      <c r="H52" s="323">
        <f t="shared" ref="H52:H58" si="5">G52*12</f>
        <v>0</v>
      </c>
      <c r="I52" s="44"/>
      <c r="J52" s="321" t="s">
        <v>362</v>
      </c>
      <c r="K52" s="322"/>
      <c r="L52" s="323">
        <f t="shared" ref="L52:L58" si="6">K52*12</f>
        <v>0</v>
      </c>
      <c r="M52" s="44"/>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row>
    <row r="53" spans="2:39" x14ac:dyDescent="0.25">
      <c r="B53" s="324" t="s">
        <v>363</v>
      </c>
      <c r="C53" s="325"/>
      <c r="D53" s="326">
        <f t="shared" si="2"/>
        <v>0</v>
      </c>
      <c r="E53" s="158"/>
      <c r="F53" s="324" t="s">
        <v>363</v>
      </c>
      <c r="G53" s="325"/>
      <c r="H53" s="326">
        <f t="shared" si="5"/>
        <v>0</v>
      </c>
      <c r="I53" s="44"/>
      <c r="J53" s="324" t="s">
        <v>363</v>
      </c>
      <c r="K53" s="325"/>
      <c r="L53" s="326">
        <f t="shared" si="6"/>
        <v>0</v>
      </c>
      <c r="M53" s="44"/>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row>
    <row r="54" spans="2:39" x14ac:dyDescent="0.25">
      <c r="B54" s="324" t="s">
        <v>364</v>
      </c>
      <c r="C54" s="325"/>
      <c r="D54" s="326">
        <f t="shared" si="2"/>
        <v>0</v>
      </c>
      <c r="E54" s="158"/>
      <c r="F54" s="324" t="s">
        <v>364</v>
      </c>
      <c r="G54" s="325"/>
      <c r="H54" s="326">
        <f t="shared" si="5"/>
        <v>0</v>
      </c>
      <c r="I54" s="44"/>
      <c r="J54" s="324" t="s">
        <v>364</v>
      </c>
      <c r="K54" s="325"/>
      <c r="L54" s="326">
        <f t="shared" si="6"/>
        <v>0</v>
      </c>
      <c r="M54" s="44"/>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row>
    <row r="55" spans="2:39" x14ac:dyDescent="0.25">
      <c r="B55" s="324" t="s">
        <v>365</v>
      </c>
      <c r="C55" s="325"/>
      <c r="D55" s="326">
        <f t="shared" si="2"/>
        <v>0</v>
      </c>
      <c r="E55" s="158"/>
      <c r="F55" s="324" t="s">
        <v>365</v>
      </c>
      <c r="G55" s="325"/>
      <c r="H55" s="326">
        <f t="shared" si="5"/>
        <v>0</v>
      </c>
      <c r="I55" s="44"/>
      <c r="J55" s="324" t="s">
        <v>365</v>
      </c>
      <c r="K55" s="325"/>
      <c r="L55" s="326">
        <f t="shared" si="6"/>
        <v>0</v>
      </c>
      <c r="M55" s="44"/>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row>
    <row r="56" spans="2:39" x14ac:dyDescent="0.25">
      <c r="B56" s="324" t="s">
        <v>366</v>
      </c>
      <c r="C56" s="325"/>
      <c r="D56" s="326">
        <f t="shared" si="2"/>
        <v>0</v>
      </c>
      <c r="E56" s="158"/>
      <c r="F56" s="324" t="s">
        <v>366</v>
      </c>
      <c r="G56" s="325"/>
      <c r="H56" s="326">
        <f t="shared" si="5"/>
        <v>0</v>
      </c>
      <c r="I56" s="44"/>
      <c r="J56" s="324" t="s">
        <v>366</v>
      </c>
      <c r="K56" s="325"/>
      <c r="L56" s="326">
        <f t="shared" si="6"/>
        <v>0</v>
      </c>
      <c r="M56" s="44"/>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row>
    <row r="57" spans="2:39" x14ac:dyDescent="0.25">
      <c r="B57" s="324" t="s">
        <v>367</v>
      </c>
      <c r="C57" s="325"/>
      <c r="D57" s="326">
        <f t="shared" si="2"/>
        <v>0</v>
      </c>
      <c r="E57" s="158"/>
      <c r="F57" s="324" t="s">
        <v>367</v>
      </c>
      <c r="G57" s="325"/>
      <c r="H57" s="326">
        <f t="shared" si="5"/>
        <v>0</v>
      </c>
      <c r="I57" s="44"/>
      <c r="J57" s="324" t="s">
        <v>367</v>
      </c>
      <c r="K57" s="325"/>
      <c r="L57" s="326">
        <f t="shared" si="6"/>
        <v>0</v>
      </c>
      <c r="M57" s="44"/>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row>
    <row r="58" spans="2:39" x14ac:dyDescent="0.25">
      <c r="B58" s="324" t="s">
        <v>273</v>
      </c>
      <c r="C58" s="325"/>
      <c r="D58" s="326">
        <f t="shared" si="2"/>
        <v>0</v>
      </c>
      <c r="E58" s="158"/>
      <c r="F58" s="324" t="s">
        <v>273</v>
      </c>
      <c r="G58" s="325"/>
      <c r="H58" s="326">
        <f t="shared" si="5"/>
        <v>0</v>
      </c>
      <c r="I58" s="44"/>
      <c r="J58" s="324" t="s">
        <v>273</v>
      </c>
      <c r="K58" s="325"/>
      <c r="L58" s="326">
        <f t="shared" si="6"/>
        <v>0</v>
      </c>
      <c r="M58" s="44"/>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row>
    <row r="59" spans="2:39" x14ac:dyDescent="0.25">
      <c r="B59" s="157" t="s">
        <v>368</v>
      </c>
      <c r="C59" s="159"/>
      <c r="D59" s="330">
        <f>SUM(D52:D58)</f>
        <v>0</v>
      </c>
      <c r="E59" s="158"/>
      <c r="F59" s="157" t="s">
        <v>368</v>
      </c>
      <c r="G59" s="159"/>
      <c r="H59" s="330">
        <f>SUM(H52:H58)</f>
        <v>0</v>
      </c>
      <c r="I59" s="44"/>
      <c r="J59" s="157" t="s">
        <v>368</v>
      </c>
      <c r="K59" s="159"/>
      <c r="L59" s="330">
        <f>SUM(L52:L58)</f>
        <v>0</v>
      </c>
      <c r="M59" s="44"/>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row>
    <row r="60" spans="2:39" x14ac:dyDescent="0.25">
      <c r="B60" s="160"/>
      <c r="C60" s="161"/>
      <c r="D60" s="161"/>
      <c r="E60" s="158"/>
      <c r="F60" s="160"/>
      <c r="G60" s="161"/>
      <c r="H60" s="161"/>
      <c r="I60" s="44"/>
      <c r="J60" s="160"/>
      <c r="K60" s="161"/>
      <c r="L60" s="161"/>
      <c r="M60" s="44"/>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row>
    <row r="61" spans="2:39" x14ac:dyDescent="0.25">
      <c r="B61" s="157" t="s">
        <v>369</v>
      </c>
      <c r="C61" s="168" t="s">
        <v>295</v>
      </c>
      <c r="D61" s="158"/>
      <c r="E61" s="158"/>
      <c r="F61" s="157" t="s">
        <v>369</v>
      </c>
      <c r="G61" s="168" t="s">
        <v>295</v>
      </c>
      <c r="H61" s="158"/>
      <c r="I61" s="44"/>
      <c r="J61" s="157" t="s">
        <v>369</v>
      </c>
      <c r="K61" s="168" t="s">
        <v>295</v>
      </c>
      <c r="L61" s="158"/>
      <c r="M61" s="44"/>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row>
    <row r="62" spans="2:39" x14ac:dyDescent="0.25">
      <c r="B62" s="321" t="s">
        <v>370</v>
      </c>
      <c r="C62" s="322"/>
      <c r="D62" s="323">
        <f t="shared" si="2"/>
        <v>0</v>
      </c>
      <c r="E62" s="158"/>
      <c r="F62" s="321" t="s">
        <v>370</v>
      </c>
      <c r="G62" s="322"/>
      <c r="H62" s="323">
        <f>G62*12</f>
        <v>0</v>
      </c>
      <c r="I62" s="44"/>
      <c r="J62" s="321" t="s">
        <v>370</v>
      </c>
      <c r="K62" s="322"/>
      <c r="L62" s="323">
        <f>K62*12</f>
        <v>0</v>
      </c>
      <c r="M62" s="44"/>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row>
    <row r="63" spans="2:39" x14ac:dyDescent="0.25">
      <c r="B63" s="324" t="s">
        <v>371</v>
      </c>
      <c r="C63" s="325"/>
      <c r="D63" s="326">
        <f t="shared" si="2"/>
        <v>0</v>
      </c>
      <c r="E63" s="158"/>
      <c r="F63" s="324" t="s">
        <v>371</v>
      </c>
      <c r="G63" s="325"/>
      <c r="H63" s="326">
        <f>G63*12</f>
        <v>0</v>
      </c>
      <c r="I63" s="44"/>
      <c r="J63" s="324" t="s">
        <v>371</v>
      </c>
      <c r="K63" s="325"/>
      <c r="L63" s="326">
        <f>K63*12</f>
        <v>0</v>
      </c>
      <c r="M63" s="44"/>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row>
    <row r="64" spans="2:39" x14ac:dyDescent="0.25">
      <c r="B64" s="324" t="s">
        <v>372</v>
      </c>
      <c r="C64" s="325"/>
      <c r="D64" s="326">
        <f t="shared" si="2"/>
        <v>0</v>
      </c>
      <c r="E64" s="158"/>
      <c r="F64" s="324" t="s">
        <v>372</v>
      </c>
      <c r="G64" s="325"/>
      <c r="H64" s="326">
        <f>G64*12</f>
        <v>0</v>
      </c>
      <c r="I64" s="44"/>
      <c r="J64" s="324" t="s">
        <v>372</v>
      </c>
      <c r="K64" s="325"/>
      <c r="L64" s="326">
        <f>K64*12</f>
        <v>0</v>
      </c>
      <c r="M64" s="44"/>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row>
    <row r="65" spans="2:39" x14ac:dyDescent="0.25">
      <c r="B65" s="324" t="s">
        <v>273</v>
      </c>
      <c r="C65" s="325"/>
      <c r="D65" s="326">
        <f t="shared" si="2"/>
        <v>0</v>
      </c>
      <c r="E65" s="158"/>
      <c r="F65" s="324" t="s">
        <v>273</v>
      </c>
      <c r="G65" s="325"/>
      <c r="H65" s="326">
        <f>G65*12</f>
        <v>0</v>
      </c>
      <c r="I65" s="44"/>
      <c r="J65" s="324" t="s">
        <v>273</v>
      </c>
      <c r="K65" s="325"/>
      <c r="L65" s="326">
        <f>K65*12</f>
        <v>0</v>
      </c>
      <c r="M65" s="44"/>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row>
    <row r="66" spans="2:39" x14ac:dyDescent="0.25">
      <c r="B66" s="157" t="s">
        <v>373</v>
      </c>
      <c r="C66" s="159"/>
      <c r="D66" s="330">
        <f>SUM(D62:D65)</f>
        <v>0</v>
      </c>
      <c r="E66" s="158"/>
      <c r="F66" s="157" t="s">
        <v>373</v>
      </c>
      <c r="G66" s="159"/>
      <c r="H66" s="330">
        <f>SUM(H62:H65)</f>
        <v>0</v>
      </c>
      <c r="I66" s="44"/>
      <c r="J66" s="157" t="s">
        <v>373</v>
      </c>
      <c r="K66" s="159"/>
      <c r="L66" s="330">
        <f>SUM(L62:L65)</f>
        <v>0</v>
      </c>
      <c r="M66" s="44"/>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row>
    <row r="67" spans="2:39" x14ac:dyDescent="0.25">
      <c r="B67" s="160"/>
      <c r="C67" s="161"/>
      <c r="D67" s="161"/>
      <c r="E67" s="158"/>
      <c r="F67" s="160"/>
      <c r="G67" s="161"/>
      <c r="H67" s="161"/>
      <c r="I67" s="44"/>
      <c r="J67" s="160"/>
      <c r="K67" s="161"/>
      <c r="L67" s="161"/>
      <c r="M67" s="44"/>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row>
    <row r="68" spans="2:39" x14ac:dyDescent="0.25">
      <c r="B68" s="157" t="s">
        <v>374</v>
      </c>
      <c r="C68" s="168" t="s">
        <v>295</v>
      </c>
      <c r="D68" s="158"/>
      <c r="E68" s="158"/>
      <c r="F68" s="157" t="s">
        <v>374</v>
      </c>
      <c r="G68" s="168" t="s">
        <v>295</v>
      </c>
      <c r="H68" s="158"/>
      <c r="I68" s="44"/>
      <c r="J68" s="157" t="s">
        <v>374</v>
      </c>
      <c r="K68" s="168" t="s">
        <v>295</v>
      </c>
      <c r="L68" s="158"/>
      <c r="M68" s="44"/>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row>
    <row r="69" spans="2:39" x14ac:dyDescent="0.25">
      <c r="B69" s="321" t="s">
        <v>375</v>
      </c>
      <c r="C69" s="322"/>
      <c r="D69" s="323">
        <f t="shared" si="2"/>
        <v>0</v>
      </c>
      <c r="E69" s="158"/>
      <c r="F69" s="321" t="s">
        <v>375</v>
      </c>
      <c r="G69" s="322"/>
      <c r="H69" s="323">
        <f>G69*12</f>
        <v>0</v>
      </c>
      <c r="I69" s="44"/>
      <c r="J69" s="321" t="s">
        <v>375</v>
      </c>
      <c r="K69" s="322"/>
      <c r="L69" s="323">
        <f>K69*12</f>
        <v>0</v>
      </c>
      <c r="M69" s="44"/>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row>
    <row r="70" spans="2:39" x14ac:dyDescent="0.25">
      <c r="B70" s="324" t="s">
        <v>376</v>
      </c>
      <c r="C70" s="325"/>
      <c r="D70" s="326">
        <f t="shared" si="2"/>
        <v>0</v>
      </c>
      <c r="E70" s="158"/>
      <c r="F70" s="324" t="s">
        <v>376</v>
      </c>
      <c r="G70" s="325"/>
      <c r="H70" s="326">
        <f>G70*12</f>
        <v>0</v>
      </c>
      <c r="I70" s="44"/>
      <c r="J70" s="324" t="s">
        <v>376</v>
      </c>
      <c r="K70" s="325"/>
      <c r="L70" s="326">
        <f>K70*12</f>
        <v>0</v>
      </c>
      <c r="M70" s="44"/>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row>
    <row r="71" spans="2:39" x14ac:dyDescent="0.25">
      <c r="B71" s="324" t="s">
        <v>377</v>
      </c>
      <c r="C71" s="325"/>
      <c r="D71" s="326">
        <f t="shared" si="2"/>
        <v>0</v>
      </c>
      <c r="E71" s="158"/>
      <c r="F71" s="324" t="s">
        <v>377</v>
      </c>
      <c r="G71" s="325"/>
      <c r="H71" s="326">
        <f>G71*12</f>
        <v>0</v>
      </c>
      <c r="I71" s="44"/>
      <c r="J71" s="324" t="s">
        <v>377</v>
      </c>
      <c r="K71" s="325"/>
      <c r="L71" s="326">
        <f>K71*12</f>
        <v>0</v>
      </c>
      <c r="M71" s="44"/>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row>
    <row r="72" spans="2:39" x14ac:dyDescent="0.25">
      <c r="B72" s="324" t="s">
        <v>378</v>
      </c>
      <c r="C72" s="325"/>
      <c r="D72" s="326">
        <f t="shared" si="2"/>
        <v>0</v>
      </c>
      <c r="E72" s="158"/>
      <c r="F72" s="324" t="s">
        <v>378</v>
      </c>
      <c r="G72" s="325"/>
      <c r="H72" s="326">
        <f>G72*12</f>
        <v>0</v>
      </c>
      <c r="I72" s="44"/>
      <c r="J72" s="324" t="s">
        <v>378</v>
      </c>
      <c r="K72" s="325"/>
      <c r="L72" s="326">
        <f>K72*12</f>
        <v>0</v>
      </c>
      <c r="M72" s="44"/>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row>
    <row r="73" spans="2:39" x14ac:dyDescent="0.25">
      <c r="B73" s="324" t="s">
        <v>273</v>
      </c>
      <c r="C73" s="325"/>
      <c r="D73" s="326">
        <f t="shared" si="2"/>
        <v>0</v>
      </c>
      <c r="E73" s="158"/>
      <c r="F73" s="324" t="s">
        <v>273</v>
      </c>
      <c r="G73" s="325"/>
      <c r="H73" s="326">
        <f>G73*12</f>
        <v>0</v>
      </c>
      <c r="I73" s="44"/>
      <c r="J73" s="324" t="s">
        <v>273</v>
      </c>
      <c r="K73" s="325"/>
      <c r="L73" s="326">
        <f>K73*12</f>
        <v>0</v>
      </c>
      <c r="M73" s="44"/>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row>
    <row r="74" spans="2:39" x14ac:dyDescent="0.25">
      <c r="B74" s="157" t="s">
        <v>379</v>
      </c>
      <c r="C74" s="159"/>
      <c r="D74" s="330">
        <f>SUM(D69:D73)</f>
        <v>0</v>
      </c>
      <c r="E74" s="158"/>
      <c r="F74" s="157" t="s">
        <v>379</v>
      </c>
      <c r="G74" s="159"/>
      <c r="H74" s="330">
        <f>SUM(H69:H73)</f>
        <v>0</v>
      </c>
      <c r="I74" s="44"/>
      <c r="J74" s="157" t="s">
        <v>379</v>
      </c>
      <c r="K74" s="159"/>
      <c r="L74" s="330">
        <f>SUM(L69:L73)</f>
        <v>0</v>
      </c>
      <c r="M74" s="44"/>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row>
    <row r="75" spans="2:39" x14ac:dyDescent="0.25">
      <c r="B75" s="157"/>
      <c r="C75" s="159"/>
      <c r="D75" s="159"/>
      <c r="E75" s="159"/>
      <c r="F75" s="157"/>
      <c r="G75" s="159"/>
      <c r="H75" s="159"/>
      <c r="I75" s="44"/>
      <c r="J75" s="157"/>
      <c r="K75" s="159"/>
      <c r="L75" s="159"/>
      <c r="M75" s="44"/>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row>
    <row r="76" spans="2:39" x14ac:dyDescent="0.25">
      <c r="B76" s="162" t="s">
        <v>389</v>
      </c>
      <c r="C76" s="168" t="s">
        <v>295</v>
      </c>
      <c r="D76" s="161"/>
      <c r="E76" s="158"/>
      <c r="F76" s="162" t="s">
        <v>389</v>
      </c>
      <c r="G76" s="168" t="s">
        <v>295</v>
      </c>
      <c r="H76" s="161"/>
      <c r="I76" s="44"/>
      <c r="J76" s="162" t="s">
        <v>389</v>
      </c>
      <c r="K76" s="168" t="s">
        <v>295</v>
      </c>
      <c r="L76" s="161"/>
      <c r="M76" s="44"/>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row>
    <row r="77" spans="2:39" x14ac:dyDescent="0.25">
      <c r="B77" s="321" t="s">
        <v>380</v>
      </c>
      <c r="C77" s="322"/>
      <c r="D77" s="323">
        <f>C77*12</f>
        <v>0</v>
      </c>
      <c r="E77" s="158"/>
      <c r="F77" s="321" t="s">
        <v>380</v>
      </c>
      <c r="G77" s="322"/>
      <c r="H77" s="323">
        <f>G77*12</f>
        <v>0</v>
      </c>
      <c r="I77" s="44"/>
      <c r="J77" s="321" t="s">
        <v>380</v>
      </c>
      <c r="K77" s="322"/>
      <c r="L77" s="323">
        <f>K77*12</f>
        <v>0</v>
      </c>
      <c r="M77" s="44"/>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row>
    <row r="78" spans="2:39" x14ac:dyDescent="0.25">
      <c r="B78" s="162" t="s">
        <v>390</v>
      </c>
      <c r="C78" s="163"/>
      <c r="D78" s="330">
        <f>D77</f>
        <v>0</v>
      </c>
      <c r="E78" s="158"/>
      <c r="F78" s="162" t="s">
        <v>390</v>
      </c>
      <c r="G78" s="163"/>
      <c r="H78" s="330">
        <f>H77</f>
        <v>0</v>
      </c>
      <c r="I78" s="44"/>
      <c r="J78" s="162" t="s">
        <v>390</v>
      </c>
      <c r="K78" s="163"/>
      <c r="L78" s="330">
        <f>L77</f>
        <v>0</v>
      </c>
      <c r="M78" s="44"/>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row>
    <row r="79" spans="2:39" x14ac:dyDescent="0.25">
      <c r="B79" s="162"/>
      <c r="C79" s="163"/>
      <c r="D79" s="161"/>
      <c r="E79" s="158"/>
      <c r="F79" s="162"/>
      <c r="G79" s="163"/>
      <c r="H79" s="161"/>
      <c r="I79" s="44"/>
      <c r="J79" s="162"/>
      <c r="K79" s="163"/>
      <c r="L79" s="161"/>
      <c r="M79" s="44"/>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row>
    <row r="80" spans="2:39" x14ac:dyDescent="0.25">
      <c r="B80" s="158"/>
      <c r="C80" s="158"/>
      <c r="D80" s="158"/>
      <c r="E80" s="158"/>
      <c r="F80" s="158"/>
      <c r="G80" s="158"/>
      <c r="H80" s="158"/>
      <c r="I80" s="44"/>
      <c r="J80" s="158"/>
      <c r="K80" s="158"/>
      <c r="L80" s="158"/>
      <c r="M80" s="44"/>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row>
    <row r="81" spans="2:39" ht="15.75" x14ac:dyDescent="0.25">
      <c r="B81" s="329" t="s">
        <v>126</v>
      </c>
      <c r="C81" s="327" t="s">
        <v>347</v>
      </c>
      <c r="D81" s="328" t="s">
        <v>348</v>
      </c>
      <c r="E81" s="158"/>
      <c r="F81" s="329" t="s">
        <v>126</v>
      </c>
      <c r="G81" s="327" t="s">
        <v>347</v>
      </c>
      <c r="H81" s="328" t="s">
        <v>348</v>
      </c>
      <c r="I81" s="156"/>
      <c r="J81" s="329" t="s">
        <v>126</v>
      </c>
      <c r="K81" s="327" t="s">
        <v>347</v>
      </c>
      <c r="L81" s="328" t="s">
        <v>348</v>
      </c>
      <c r="M81" s="15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row>
    <row r="82" spans="2:39" x14ac:dyDescent="0.25">
      <c r="B82" s="154"/>
      <c r="C82" s="154"/>
      <c r="D82" s="155"/>
      <c r="E82" s="158"/>
      <c r="F82" s="154"/>
      <c r="G82" s="154"/>
      <c r="H82" s="155"/>
      <c r="I82" s="44"/>
      <c r="J82" s="154"/>
      <c r="K82" s="154"/>
      <c r="L82" s="155"/>
      <c r="M82" s="44"/>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row>
    <row r="83" spans="2:39" x14ac:dyDescent="0.25">
      <c r="B83" s="162" t="s">
        <v>392</v>
      </c>
      <c r="C83" s="168" t="s">
        <v>295</v>
      </c>
      <c r="D83" s="161"/>
      <c r="E83" s="158"/>
      <c r="F83" s="162" t="s">
        <v>392</v>
      </c>
      <c r="G83" s="168" t="s">
        <v>295</v>
      </c>
      <c r="H83" s="161"/>
      <c r="I83" s="44"/>
      <c r="J83" s="162" t="s">
        <v>392</v>
      </c>
      <c r="K83" s="168" t="s">
        <v>295</v>
      </c>
      <c r="L83" s="161"/>
      <c r="M83" s="44"/>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row>
    <row r="84" spans="2:39" x14ac:dyDescent="0.25">
      <c r="B84" s="321" t="s">
        <v>345</v>
      </c>
      <c r="C84" s="333"/>
      <c r="D84" s="334">
        <f>C84*12</f>
        <v>0</v>
      </c>
      <c r="E84" s="158"/>
      <c r="F84" s="321" t="s">
        <v>345</v>
      </c>
      <c r="G84" s="333"/>
      <c r="H84" s="334">
        <f>G84*12</f>
        <v>0</v>
      </c>
      <c r="I84" s="44"/>
      <c r="J84" s="321" t="s">
        <v>345</v>
      </c>
      <c r="K84" s="333"/>
      <c r="L84" s="334">
        <f>K84*12</f>
        <v>0</v>
      </c>
      <c r="M84" s="44"/>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row>
    <row r="85" spans="2:39" x14ac:dyDescent="0.25">
      <c r="B85" s="324" t="s">
        <v>382</v>
      </c>
      <c r="C85" s="335"/>
      <c r="D85" s="336">
        <f>C85*12</f>
        <v>0</v>
      </c>
      <c r="E85" s="158"/>
      <c r="F85" s="324" t="s">
        <v>382</v>
      </c>
      <c r="G85" s="335"/>
      <c r="H85" s="336">
        <f>G85*12</f>
        <v>0</v>
      </c>
      <c r="I85" s="44"/>
      <c r="J85" s="324" t="s">
        <v>382</v>
      </c>
      <c r="K85" s="335"/>
      <c r="L85" s="336">
        <f>K85*12</f>
        <v>0</v>
      </c>
      <c r="M85" s="44"/>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row>
    <row r="86" spans="2:39" x14ac:dyDescent="0.25">
      <c r="B86" s="324" t="s">
        <v>391</v>
      </c>
      <c r="C86" s="335"/>
      <c r="D86" s="336">
        <f>C86*12</f>
        <v>0</v>
      </c>
      <c r="E86" s="158"/>
      <c r="F86" s="324" t="s">
        <v>391</v>
      </c>
      <c r="G86" s="335"/>
      <c r="H86" s="336">
        <f>G86*12</f>
        <v>0</v>
      </c>
      <c r="I86" s="44"/>
      <c r="J86" s="324" t="s">
        <v>391</v>
      </c>
      <c r="K86" s="335"/>
      <c r="L86" s="336">
        <f>K86*12</f>
        <v>0</v>
      </c>
      <c r="M86" s="44"/>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row>
    <row r="87" spans="2:39" x14ac:dyDescent="0.25">
      <c r="B87" s="324" t="s">
        <v>383</v>
      </c>
      <c r="C87" s="335"/>
      <c r="D87" s="336">
        <f>C87*12</f>
        <v>0</v>
      </c>
      <c r="E87" s="158"/>
      <c r="F87" s="324" t="s">
        <v>383</v>
      </c>
      <c r="G87" s="335"/>
      <c r="H87" s="336">
        <f>G87*12</f>
        <v>0</v>
      </c>
      <c r="I87" s="44"/>
      <c r="J87" s="324" t="s">
        <v>383</v>
      </c>
      <c r="K87" s="335"/>
      <c r="L87" s="336">
        <f>K87*12</f>
        <v>0</v>
      </c>
      <c r="M87" s="44"/>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row>
    <row r="88" spans="2:39" x14ac:dyDescent="0.25">
      <c r="B88" s="324" t="s">
        <v>384</v>
      </c>
      <c r="C88" s="335"/>
      <c r="D88" s="336">
        <f>C88*12</f>
        <v>0</v>
      </c>
      <c r="E88" s="158"/>
      <c r="F88" s="324" t="s">
        <v>384</v>
      </c>
      <c r="G88" s="335"/>
      <c r="H88" s="336">
        <f>G88*12</f>
        <v>0</v>
      </c>
      <c r="I88" s="44"/>
      <c r="J88" s="324" t="s">
        <v>384</v>
      </c>
      <c r="K88" s="335"/>
      <c r="L88" s="336">
        <f>K88*12</f>
        <v>0</v>
      </c>
      <c r="M88" s="44"/>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row>
    <row r="89" spans="2:39" x14ac:dyDescent="0.25">
      <c r="B89" s="157" t="s">
        <v>394</v>
      </c>
      <c r="C89" s="159"/>
      <c r="D89" s="331">
        <f>SUM(D84:D88)</f>
        <v>0</v>
      </c>
      <c r="E89" s="158"/>
      <c r="F89" s="157" t="s">
        <v>394</v>
      </c>
      <c r="G89" s="159"/>
      <c r="H89" s="331">
        <f>SUM(H84:H88)</f>
        <v>0</v>
      </c>
      <c r="I89" s="44"/>
      <c r="J89" s="157" t="s">
        <v>394</v>
      </c>
      <c r="K89" s="159"/>
      <c r="L89" s="331">
        <f>SUM(L84:L88)</f>
        <v>0</v>
      </c>
      <c r="M89" s="44"/>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row>
    <row r="90" spans="2:39" x14ac:dyDescent="0.25">
      <c r="B90" s="160"/>
      <c r="C90" s="161"/>
      <c r="D90" s="164"/>
      <c r="E90" s="158"/>
      <c r="F90" s="160"/>
      <c r="G90" s="161"/>
      <c r="H90" s="164"/>
      <c r="I90" s="44"/>
      <c r="J90" s="160"/>
      <c r="K90" s="161"/>
      <c r="L90" s="164"/>
      <c r="M90" s="44"/>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row>
    <row r="91" spans="2:39" x14ac:dyDescent="0.25">
      <c r="B91" s="160"/>
      <c r="C91" s="161"/>
      <c r="D91" s="164"/>
      <c r="E91" s="158"/>
      <c r="F91" s="160"/>
      <c r="G91" s="161"/>
      <c r="H91" s="164"/>
      <c r="I91" s="44"/>
      <c r="J91" s="160"/>
      <c r="K91" s="161"/>
      <c r="L91" s="164"/>
      <c r="M91" s="44"/>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row>
    <row r="92" spans="2:39" x14ac:dyDescent="0.25">
      <c r="B92" s="162" t="s">
        <v>393</v>
      </c>
      <c r="C92" s="168"/>
      <c r="D92" s="161"/>
      <c r="E92" s="158"/>
      <c r="F92" s="162" t="s">
        <v>393</v>
      </c>
      <c r="G92" s="168"/>
      <c r="H92" s="161"/>
      <c r="I92" s="44"/>
      <c r="J92" s="162" t="s">
        <v>393</v>
      </c>
      <c r="K92" s="168"/>
      <c r="L92" s="161"/>
      <c r="M92" s="44"/>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row>
    <row r="93" spans="2:39" x14ac:dyDescent="0.25">
      <c r="B93" s="471" t="s">
        <v>381</v>
      </c>
      <c r="C93" s="472"/>
      <c r="D93" s="334">
        <f>D39+D49+D59+D66+D74+D78</f>
        <v>0</v>
      </c>
      <c r="E93" s="158"/>
      <c r="F93" s="471" t="s">
        <v>381</v>
      </c>
      <c r="G93" s="472"/>
      <c r="H93" s="334">
        <f>H39+H49+H59+H66+H74+H78</f>
        <v>0</v>
      </c>
      <c r="I93" s="44"/>
      <c r="J93" s="471" t="s">
        <v>381</v>
      </c>
      <c r="K93" s="472"/>
      <c r="L93" s="334">
        <f>L39+L49+L59+L66+L74+L78</f>
        <v>0</v>
      </c>
      <c r="M93" s="44"/>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row>
    <row r="94" spans="2:39" x14ac:dyDescent="0.25">
      <c r="B94" s="473" t="s">
        <v>394</v>
      </c>
      <c r="C94" s="474"/>
      <c r="D94" s="336">
        <f>D89</f>
        <v>0</v>
      </c>
      <c r="E94" s="158"/>
      <c r="F94" s="473" t="s">
        <v>394</v>
      </c>
      <c r="G94" s="474"/>
      <c r="H94" s="336">
        <f>H89</f>
        <v>0</v>
      </c>
      <c r="I94" s="44"/>
      <c r="J94" s="473" t="s">
        <v>394</v>
      </c>
      <c r="K94" s="474"/>
      <c r="L94" s="336">
        <f>L89</f>
        <v>0</v>
      </c>
      <c r="M94" s="44"/>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row>
    <row r="95" spans="2:39" x14ac:dyDescent="0.25">
      <c r="B95" s="1"/>
      <c r="C95" s="1"/>
      <c r="D95" s="331">
        <f>IF(D93-D94&lt;0,0,D93-D94)</f>
        <v>0</v>
      </c>
      <c r="E95" s="158"/>
      <c r="F95" s="1"/>
      <c r="G95" s="1"/>
      <c r="H95" s="331">
        <f>IF(H93-H94&lt;0,0,H93-H94)</f>
        <v>0</v>
      </c>
      <c r="I95" s="44"/>
      <c r="J95" s="1"/>
      <c r="K95" s="1"/>
      <c r="L95" s="331">
        <f>IF(L93-L94&lt;0,0,L93-L94)</f>
        <v>0</v>
      </c>
      <c r="M95" s="44"/>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row>
    <row r="96" spans="2:39" x14ac:dyDescent="0.25">
      <c r="B96" s="1"/>
      <c r="C96" s="158"/>
      <c r="D96" s="158"/>
      <c r="E96" s="158"/>
      <c r="F96" s="1"/>
      <c r="G96" s="158"/>
      <c r="H96" s="158"/>
      <c r="I96" s="44"/>
      <c r="J96" s="1"/>
      <c r="K96" s="158"/>
      <c r="L96" s="158"/>
      <c r="M96" s="44"/>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row>
    <row r="97" spans="2:40" x14ac:dyDescent="0.25">
      <c r="B97" s="44"/>
      <c r="C97" s="44"/>
      <c r="D97" s="165"/>
      <c r="E97" s="158"/>
      <c r="F97" s="44"/>
      <c r="G97" s="44"/>
      <c r="H97" s="165"/>
      <c r="I97" s="44"/>
      <c r="J97" s="44"/>
      <c r="K97" s="44"/>
      <c r="L97" s="165"/>
      <c r="M97" s="44"/>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row>
    <row r="98" spans="2:40" ht="15.75" x14ac:dyDescent="0.25">
      <c r="B98" s="475" t="s">
        <v>395</v>
      </c>
      <c r="C98" s="476"/>
      <c r="D98" s="477"/>
      <c r="E98" s="158"/>
      <c r="F98" s="475" t="s">
        <v>395</v>
      </c>
      <c r="G98" s="476"/>
      <c r="H98" s="477"/>
      <c r="I98" s="156"/>
      <c r="J98" s="475" t="s">
        <v>395</v>
      </c>
      <c r="K98" s="476"/>
      <c r="L98" s="477"/>
      <c r="M98" s="15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row>
    <row r="99" spans="2:40" x14ac:dyDescent="0.25">
      <c r="B99" s="154"/>
      <c r="C99" s="154"/>
      <c r="D99" s="155"/>
      <c r="E99" s="158"/>
      <c r="F99" s="154"/>
      <c r="G99" s="154"/>
      <c r="H99" s="155"/>
      <c r="I99" s="44"/>
      <c r="J99" s="154"/>
      <c r="K99" s="154"/>
      <c r="L99" s="155"/>
      <c r="M99" s="44"/>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row>
    <row r="100" spans="2:40" x14ac:dyDescent="0.25">
      <c r="B100" s="162" t="s">
        <v>396</v>
      </c>
      <c r="D100" s="168" t="s">
        <v>295</v>
      </c>
      <c r="E100" s="158"/>
      <c r="F100" s="162" t="s">
        <v>396</v>
      </c>
      <c r="H100" s="168" t="s">
        <v>295</v>
      </c>
      <c r="I100" s="44"/>
      <c r="J100" s="162" t="s">
        <v>396</v>
      </c>
      <c r="L100" s="168" t="s">
        <v>295</v>
      </c>
      <c r="M100" s="44"/>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row>
    <row r="101" spans="2:40" x14ac:dyDescent="0.25">
      <c r="B101" s="479" t="s">
        <v>385</v>
      </c>
      <c r="C101" s="482"/>
      <c r="D101" s="337"/>
      <c r="E101" s="158"/>
      <c r="F101" s="479" t="str">
        <f>B101</f>
        <v xml:space="preserve">Hoogte hypoteek </v>
      </c>
      <c r="G101" s="482"/>
      <c r="H101" s="337"/>
      <c r="I101" s="44"/>
      <c r="J101" s="478" t="str">
        <f>B101</f>
        <v xml:space="preserve">Hoogte hypoteek </v>
      </c>
      <c r="K101" s="479"/>
      <c r="L101" s="337"/>
      <c r="M101" s="44"/>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row>
    <row r="102" spans="2:40" x14ac:dyDescent="0.25">
      <c r="B102" s="442" t="s">
        <v>386</v>
      </c>
      <c r="C102" s="443"/>
      <c r="D102" s="338"/>
      <c r="E102" s="158"/>
      <c r="F102" s="479" t="str">
        <f t="shared" ref="F102:F104" si="7">B102</f>
        <v xml:space="preserve">WOZ waarde woning </v>
      </c>
      <c r="G102" s="482"/>
      <c r="H102" s="338"/>
      <c r="I102" s="44"/>
      <c r="J102" s="478" t="str">
        <f t="shared" ref="J102:J106" si="8">B102</f>
        <v xml:space="preserve">WOZ waarde woning </v>
      </c>
      <c r="K102" s="479"/>
      <c r="L102" s="338"/>
      <c r="M102" s="44"/>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row>
    <row r="103" spans="2:40" x14ac:dyDescent="0.25">
      <c r="B103" s="442" t="s">
        <v>387</v>
      </c>
      <c r="C103" s="443"/>
      <c r="D103" s="338"/>
      <c r="E103" s="158"/>
      <c r="F103" s="479" t="str">
        <f t="shared" si="7"/>
        <v xml:space="preserve">Evt. opgebouwd kapitaal in een polis gekoppeld aan hypotheek </v>
      </c>
      <c r="G103" s="482"/>
      <c r="H103" s="338"/>
      <c r="I103" s="44"/>
      <c r="J103" s="478" t="str">
        <f t="shared" si="8"/>
        <v xml:space="preserve">Evt. opgebouwd kapitaal in een polis gekoppeld aan hypotheek </v>
      </c>
      <c r="K103" s="479"/>
      <c r="L103" s="338"/>
      <c r="M103" s="44"/>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row>
    <row r="104" spans="2:40" x14ac:dyDescent="0.25">
      <c r="B104" s="442" t="s">
        <v>388</v>
      </c>
      <c r="C104" s="443"/>
      <c r="D104" s="338"/>
      <c r="E104" s="158"/>
      <c r="F104" s="479" t="str">
        <f t="shared" si="7"/>
        <v>Dekkingsbedrag evt. gesloten overlijdensrisico verzekering(en)</v>
      </c>
      <c r="G104" s="482"/>
      <c r="H104" s="338"/>
      <c r="I104" s="44"/>
      <c r="J104" s="478" t="str">
        <f t="shared" si="8"/>
        <v>Dekkingsbedrag evt. gesloten overlijdensrisico verzekering(en)</v>
      </c>
      <c r="K104" s="479"/>
      <c r="L104" s="338"/>
      <c r="M104" s="44"/>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row>
    <row r="105" spans="2:40" x14ac:dyDescent="0.25">
      <c r="B105" s="442" t="s">
        <v>465</v>
      </c>
      <c r="C105" s="443"/>
      <c r="D105" s="338"/>
      <c r="E105" s="158"/>
      <c r="F105" s="479" t="str">
        <f t="shared" ref="F105" si="9">B105</f>
        <v>Spaargeld</v>
      </c>
      <c r="G105" s="482"/>
      <c r="H105" s="338"/>
      <c r="I105" s="44"/>
      <c r="J105" s="478" t="str">
        <f t="shared" ref="J105" si="10">B105</f>
        <v>Spaargeld</v>
      </c>
      <c r="K105" s="479"/>
      <c r="L105" s="338"/>
      <c r="M105" s="44"/>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row>
    <row r="106" spans="2:40" x14ac:dyDescent="0.25">
      <c r="B106" s="442" t="s">
        <v>466</v>
      </c>
      <c r="C106" s="443"/>
      <c r="D106" s="338"/>
      <c r="E106" s="158"/>
      <c r="F106" s="479" t="str">
        <f>B106</f>
        <v>Overige bezittingen (bijvoorbeeld aandelen of vastgoed)</v>
      </c>
      <c r="G106" s="482"/>
      <c r="H106" s="338"/>
      <c r="I106" s="44"/>
      <c r="J106" s="478" t="str">
        <f t="shared" si="8"/>
        <v>Overige bezittingen (bijvoorbeeld aandelen of vastgoed)</v>
      </c>
      <c r="K106" s="479"/>
      <c r="L106" s="338"/>
      <c r="M106" s="44"/>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row>
    <row r="107" spans="2:40" x14ac:dyDescent="0.25">
      <c r="B107" s="44"/>
      <c r="C107" s="44"/>
      <c r="D107" s="44"/>
      <c r="E107" s="158"/>
      <c r="F107" s="44"/>
      <c r="G107" s="44"/>
      <c r="H107" s="44"/>
      <c r="I107" s="44"/>
      <c r="J107" s="44"/>
      <c r="K107" s="44"/>
      <c r="L107" s="44"/>
      <c r="M107" s="44"/>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row>
    <row r="108" spans="2:40" x14ac:dyDescent="0.25">
      <c r="B108" s="162" t="s">
        <v>397</v>
      </c>
      <c r="D108" s="168"/>
      <c r="E108" s="158"/>
      <c r="F108" s="162" t="s">
        <v>397</v>
      </c>
      <c r="H108" s="168"/>
      <c r="I108" s="44"/>
      <c r="J108" s="162" t="s">
        <v>397</v>
      </c>
      <c r="L108" s="168"/>
      <c r="M108" s="44"/>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row>
    <row r="109" spans="2:40" x14ac:dyDescent="0.25">
      <c r="B109" s="480" t="s">
        <v>398</v>
      </c>
      <c r="C109" s="481"/>
      <c r="D109" s="339" t="s">
        <v>399</v>
      </c>
      <c r="E109" s="158"/>
      <c r="F109" s="480" t="s">
        <v>398</v>
      </c>
      <c r="G109" s="481"/>
      <c r="H109" s="339" t="s">
        <v>399</v>
      </c>
      <c r="I109" s="44"/>
      <c r="J109" s="480" t="s">
        <v>398</v>
      </c>
      <c r="K109" s="481"/>
      <c r="L109" s="339" t="s">
        <v>399</v>
      </c>
      <c r="M109" s="44"/>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row>
    <row r="110" spans="2:40" x14ac:dyDescent="0.25">
      <c r="B110" s="469"/>
      <c r="C110" s="470"/>
      <c r="D110" s="338"/>
      <c r="E110" s="158"/>
      <c r="F110" s="469"/>
      <c r="G110" s="470"/>
      <c r="H110" s="338"/>
      <c r="I110" s="44"/>
      <c r="J110" s="469"/>
      <c r="K110" s="470"/>
      <c r="L110" s="338"/>
      <c r="M110" s="44"/>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row>
    <row r="111" spans="2:40" x14ac:dyDescent="0.25">
      <c r="B111" s="469"/>
      <c r="C111" s="470"/>
      <c r="D111" s="338"/>
      <c r="E111" s="158"/>
      <c r="F111" s="469"/>
      <c r="G111" s="470"/>
      <c r="H111" s="338"/>
      <c r="I111" s="44"/>
      <c r="J111" s="469"/>
      <c r="K111" s="470"/>
      <c r="L111" s="338"/>
      <c r="M111" s="44"/>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row>
    <row r="112" spans="2:40" x14ac:dyDescent="0.25">
      <c r="B112" s="469"/>
      <c r="C112" s="470"/>
      <c r="D112" s="338"/>
      <c r="E112" s="158"/>
      <c r="F112" s="469"/>
      <c r="G112" s="470"/>
      <c r="H112" s="338"/>
      <c r="I112" s="44"/>
      <c r="J112" s="469"/>
      <c r="K112" s="470"/>
      <c r="L112" s="338"/>
      <c r="M112" s="44"/>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row>
    <row r="113" spans="2:40" x14ac:dyDescent="0.25">
      <c r="B113" s="469"/>
      <c r="C113" s="470"/>
      <c r="D113" s="338"/>
      <c r="E113" s="158"/>
      <c r="F113" s="469"/>
      <c r="G113" s="470"/>
      <c r="H113" s="338"/>
      <c r="I113" s="44"/>
      <c r="J113" s="469"/>
      <c r="K113" s="470"/>
      <c r="L113" s="338"/>
      <c r="M113" s="44"/>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row>
    <row r="114" spans="2:40" x14ac:dyDescent="0.25">
      <c r="B114" s="332"/>
      <c r="C114" s="332"/>
      <c r="D114" s="331">
        <f>SUM(D110:D113)</f>
        <v>0</v>
      </c>
      <c r="E114" s="158"/>
      <c r="F114" s="332"/>
      <c r="G114" s="332"/>
      <c r="H114" s="331">
        <f>SUM(H110:H113)</f>
        <v>0</v>
      </c>
      <c r="I114" s="44"/>
      <c r="J114" s="332"/>
      <c r="K114" s="332"/>
      <c r="L114" s="331">
        <f>SUM(L110:L113)</f>
        <v>0</v>
      </c>
      <c r="M114" s="44"/>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row>
    <row r="115" spans="2:40" x14ac:dyDescent="0.25">
      <c r="B115" s="1"/>
      <c r="C115" s="1"/>
      <c r="D115" s="1"/>
      <c r="E115" s="158"/>
      <c r="F115" s="44"/>
      <c r="G115" s="44"/>
      <c r="H115" s="44"/>
      <c r="I115" s="44"/>
      <c r="J115" s="44"/>
      <c r="K115" s="44"/>
      <c r="L115" s="44"/>
      <c r="M115" s="44"/>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row>
    <row r="116" spans="2:40" x14ac:dyDescent="0.25">
      <c r="B116" s="1"/>
      <c r="C116" s="1"/>
      <c r="D116" s="1"/>
      <c r="E116" s="165"/>
      <c r="F116" s="44"/>
      <c r="G116" s="44"/>
      <c r="H116" s="44"/>
      <c r="I116" s="44"/>
      <c r="J116" s="44"/>
      <c r="K116" s="44"/>
      <c r="L116" s="44"/>
      <c r="M116" s="44"/>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row>
    <row r="117" spans="2:40" x14ac:dyDescent="0.25">
      <c r="B117" s="1"/>
      <c r="C117" s="1"/>
      <c r="D117" s="1"/>
      <c r="E117" s="1"/>
      <c r="F117" s="1"/>
      <c r="G117" s="1"/>
      <c r="H117" s="1"/>
      <c r="I117" s="1"/>
      <c r="J117" s="1"/>
      <c r="K117" s="1"/>
      <c r="L117" s="1"/>
      <c r="M117" s="1"/>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row>
    <row r="118" spans="2:40" x14ac:dyDescent="0.25">
      <c r="B118" s="1"/>
      <c r="C118" s="1"/>
      <c r="D118" s="1"/>
      <c r="E118" s="1"/>
      <c r="F118" s="1"/>
      <c r="G118" s="1"/>
      <c r="H118" s="1"/>
      <c r="I118" s="1"/>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row>
    <row r="119" spans="2:40" x14ac:dyDescent="0.25">
      <c r="B119" s="1"/>
      <c r="C119" s="1"/>
      <c r="D119" s="1"/>
      <c r="E119" s="1"/>
      <c r="F119" s="1"/>
      <c r="G119" s="1"/>
      <c r="H119" s="1"/>
      <c r="I119" s="1"/>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row>
    <row r="120" spans="2:40" x14ac:dyDescent="0.25">
      <c r="B120" s="1"/>
      <c r="C120" s="1"/>
      <c r="D120" s="1"/>
      <c r="E120" s="1"/>
      <c r="F120" s="1"/>
      <c r="G120" s="1"/>
      <c r="H120" s="1"/>
      <c r="I120" s="1"/>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row>
    <row r="121" spans="2:40" x14ac:dyDescent="0.25">
      <c r="B121" s="1"/>
      <c r="C121" s="1"/>
      <c r="D121" s="1"/>
      <c r="E121" s="1"/>
      <c r="F121" s="1"/>
      <c r="G121" s="1"/>
      <c r="H121" s="1"/>
      <c r="I121" s="1"/>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row>
    <row r="122" spans="2:40" x14ac:dyDescent="0.25">
      <c r="B122" s="1"/>
      <c r="C122" s="1"/>
      <c r="D122" s="1"/>
      <c r="E122" s="1"/>
      <c r="F122" s="1"/>
      <c r="G122" s="1"/>
      <c r="H122" s="1"/>
      <c r="I122" s="1"/>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row>
    <row r="123" spans="2:40" x14ac:dyDescent="0.25">
      <c r="B123" s="1"/>
      <c r="C123" s="1"/>
      <c r="D123" s="1"/>
      <c r="E123" s="1"/>
      <c r="F123" s="1"/>
      <c r="G123" s="1"/>
      <c r="H123" s="1"/>
      <c r="I123" s="1"/>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row>
    <row r="124" spans="2:40" x14ac:dyDescent="0.25">
      <c r="B124" s="1"/>
      <c r="C124" s="1"/>
      <c r="D124" s="1"/>
      <c r="E124" s="1"/>
      <c r="F124" s="1"/>
      <c r="G124" s="1"/>
      <c r="H124" s="1"/>
      <c r="I124" s="1"/>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row>
    <row r="125" spans="2:40" x14ac:dyDescent="0.25">
      <c r="B125" s="1"/>
      <c r="C125" s="1"/>
      <c r="D125" s="1"/>
      <c r="E125" s="1"/>
      <c r="F125" s="1"/>
      <c r="G125" s="1"/>
      <c r="H125" s="1"/>
      <c r="I125" s="1"/>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row>
    <row r="126" spans="2:40" x14ac:dyDescent="0.25">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row>
    <row r="127" spans="2:40" x14ac:dyDescent="0.25">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row>
    <row r="128" spans="2:40" x14ac:dyDescent="0.25">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row>
    <row r="129" spans="2:33" x14ac:dyDescent="0.25">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row>
    <row r="130" spans="2:33" x14ac:dyDescent="0.25">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row>
    <row r="131" spans="2:33" x14ac:dyDescent="0.25">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row>
    <row r="132" spans="2:33" x14ac:dyDescent="0.25">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row>
    <row r="133" spans="2:33" x14ac:dyDescent="0.25">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row>
    <row r="134" spans="2:33" x14ac:dyDescent="0.25">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row>
    <row r="135" spans="2:33" x14ac:dyDescent="0.25">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row>
    <row r="136" spans="2:33" x14ac:dyDescent="0.25">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row>
    <row r="137" spans="2:33" x14ac:dyDescent="0.25">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row>
    <row r="138" spans="2:33" x14ac:dyDescent="0.25">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row>
    <row r="139" spans="2:33" x14ac:dyDescent="0.25">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row>
    <row r="140" spans="2:33" x14ac:dyDescent="0.25">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row>
    <row r="141" spans="2:33" x14ac:dyDescent="0.25">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row>
    <row r="142" spans="2:33" x14ac:dyDescent="0.25">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row>
    <row r="143" spans="2:33" x14ac:dyDescent="0.25">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row>
    <row r="144" spans="2:33" x14ac:dyDescent="0.25">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row>
    <row r="145" spans="2:33" x14ac:dyDescent="0.25">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row>
    <row r="146" spans="2:33" x14ac:dyDescent="0.25">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row>
    <row r="147" spans="2:33" x14ac:dyDescent="0.25">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row>
    <row r="148" spans="2:33" x14ac:dyDescent="0.25">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row>
    <row r="149" spans="2:33" x14ac:dyDescent="0.25">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row>
    <row r="150" spans="2:33" x14ac:dyDescent="0.25">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row>
    <row r="151" spans="2:33" x14ac:dyDescent="0.25">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row>
    <row r="152" spans="2:33" x14ac:dyDescent="0.25">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row>
    <row r="153" spans="2:33" x14ac:dyDescent="0.25">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row>
    <row r="154" spans="2:33" x14ac:dyDescent="0.25">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row>
    <row r="155" spans="2:33" x14ac:dyDescent="0.25">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row>
    <row r="156" spans="2:33" x14ac:dyDescent="0.25">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row>
    <row r="157" spans="2:33" x14ac:dyDescent="0.25">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row>
    <row r="158" spans="2:33" x14ac:dyDescent="0.25">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row>
    <row r="159" spans="2:33" x14ac:dyDescent="0.25">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row>
    <row r="160" spans="2:33" x14ac:dyDescent="0.25">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row>
    <row r="161" spans="2:33" x14ac:dyDescent="0.25">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row>
    <row r="162" spans="2:33" x14ac:dyDescent="0.25">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row>
    <row r="163" spans="2:33" x14ac:dyDescent="0.25">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row>
    <row r="164" spans="2:33" x14ac:dyDescent="0.25">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row>
    <row r="165" spans="2:33" x14ac:dyDescent="0.25">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row>
    <row r="166" spans="2:33" x14ac:dyDescent="0.25">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row>
    <row r="167" spans="2:33" x14ac:dyDescent="0.25">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row>
    <row r="168" spans="2:33" x14ac:dyDescent="0.25">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row>
    <row r="169" spans="2:33" x14ac:dyDescent="0.25">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row>
    <row r="170" spans="2:33" x14ac:dyDescent="0.25">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row>
    <row r="171" spans="2:33" x14ac:dyDescent="0.25">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row>
    <row r="172" spans="2:33" x14ac:dyDescent="0.25">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row>
    <row r="173" spans="2:33" x14ac:dyDescent="0.25">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row>
    <row r="174" spans="2:33" x14ac:dyDescent="0.25">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row>
    <row r="175" spans="2:33" x14ac:dyDescent="0.25">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row>
    <row r="176" spans="2:33" x14ac:dyDescent="0.25">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row>
    <row r="177" spans="2:33" x14ac:dyDescent="0.25">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row>
    <row r="178" spans="2:33" x14ac:dyDescent="0.25">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row>
    <row r="179" spans="2:33" x14ac:dyDescent="0.25">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row>
    <row r="180" spans="2:33" x14ac:dyDescent="0.25">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row>
    <row r="181" spans="2:33" x14ac:dyDescent="0.25">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row>
    <row r="182" spans="2:33" x14ac:dyDescent="0.25">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row>
    <row r="183" spans="2:33" x14ac:dyDescent="0.25">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c r="AG183" s="166"/>
    </row>
    <row r="184" spans="2:33" x14ac:dyDescent="0.25">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row>
    <row r="185" spans="2:33" x14ac:dyDescent="0.25">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row>
    <row r="186" spans="2:33" x14ac:dyDescent="0.25">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row>
    <row r="187" spans="2:33" x14ac:dyDescent="0.25">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row>
    <row r="188" spans="2:33" x14ac:dyDescent="0.25">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row>
    <row r="189" spans="2:33" x14ac:dyDescent="0.25">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row>
    <row r="190" spans="2:33" x14ac:dyDescent="0.25">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row>
    <row r="191" spans="2:33" x14ac:dyDescent="0.25">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row>
    <row r="192" spans="2:33" x14ac:dyDescent="0.25">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row>
    <row r="193" spans="2:33" x14ac:dyDescent="0.25">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row>
  </sheetData>
  <sheetProtection algorithmName="SHA-512" hashValue="7nfdoB0ByXYdhFEbHPZPuG9sKYJjEgrJPUKnDbKgdE5XS0LobGW2omdHA2qAvGUaXnByldNImqK/XfTYruNwJg==" saltValue="vcM2dFeTShIZInX1s0x9gg==" spinCount="100000" sheet="1" objects="1" scenarios="1" formatColumns="0"/>
  <mergeCells count="42">
    <mergeCell ref="B98:D98"/>
    <mergeCell ref="B93:C93"/>
    <mergeCell ref="B94:C94"/>
    <mergeCell ref="B101:C101"/>
    <mergeCell ref="B102:C102"/>
    <mergeCell ref="B112:C112"/>
    <mergeCell ref="B113:C113"/>
    <mergeCell ref="B111:C111"/>
    <mergeCell ref="B103:C103"/>
    <mergeCell ref="B104:C104"/>
    <mergeCell ref="B109:C109"/>
    <mergeCell ref="B110:C110"/>
    <mergeCell ref="B106:C106"/>
    <mergeCell ref="B105:C105"/>
    <mergeCell ref="F113:G113"/>
    <mergeCell ref="F93:G93"/>
    <mergeCell ref="F94:G94"/>
    <mergeCell ref="F98:H98"/>
    <mergeCell ref="F101:G101"/>
    <mergeCell ref="F102:G102"/>
    <mergeCell ref="F103:G103"/>
    <mergeCell ref="F104:G104"/>
    <mergeCell ref="F109:G109"/>
    <mergeCell ref="F110:G110"/>
    <mergeCell ref="F111:G111"/>
    <mergeCell ref="F112:G112"/>
    <mergeCell ref="F106:G106"/>
    <mergeCell ref="F105:G105"/>
    <mergeCell ref="J113:K113"/>
    <mergeCell ref="J93:K93"/>
    <mergeCell ref="J94:K94"/>
    <mergeCell ref="J98:L98"/>
    <mergeCell ref="J101:K101"/>
    <mergeCell ref="J102:K102"/>
    <mergeCell ref="J103:K103"/>
    <mergeCell ref="J104:K104"/>
    <mergeCell ref="J109:K109"/>
    <mergeCell ref="J110:K110"/>
    <mergeCell ref="J111:K111"/>
    <mergeCell ref="J112:K112"/>
    <mergeCell ref="J106:K106"/>
    <mergeCell ref="J105:K105"/>
  </mergeCells>
  <conditionalFormatting sqref="B9:D9">
    <cfRule type="expression" dxfId="8" priority="23">
      <formula>$D$7="Eenmanszaak"</formula>
    </cfRule>
  </conditionalFormatting>
  <conditionalFormatting sqref="B15:L15">
    <cfRule type="expression" dxfId="7" priority="19">
      <formula>$D$7="Eenmanszaak"</formula>
    </cfRule>
  </conditionalFormatting>
  <conditionalFormatting sqref="B17:L27">
    <cfRule type="expression" dxfId="6" priority="7">
      <formula>$D$7="B.V."</formula>
    </cfRule>
  </conditionalFormatting>
  <conditionalFormatting sqref="F12:H104">
    <cfRule type="expression" dxfId="5" priority="22" stopIfTrue="1">
      <formula>OR($D$7="Eenmanszaak",AND($D$7&lt;&gt;"Eenmanszaak",$D$9="Eén"))</formula>
    </cfRule>
  </conditionalFormatting>
  <conditionalFormatting sqref="F105:H114">
    <cfRule type="expression" dxfId="4" priority="2" stopIfTrue="1">
      <formula>OR($D$7="Eenmanszaak",AND($D$7&lt;&gt;"Eenmanszaak",$D$9="Eén"))</formula>
    </cfRule>
  </conditionalFormatting>
  <conditionalFormatting sqref="J12:L104">
    <cfRule type="expression" dxfId="3" priority="21" stopIfTrue="1">
      <formula>OR($D$7="Eenmanszaak",AND($D$7&lt;&gt;"Eenmanszaak",$D$9&lt;&gt;"Drie"))</formula>
    </cfRule>
  </conditionalFormatting>
  <conditionalFormatting sqref="J105:L114">
    <cfRule type="expression" dxfId="2" priority="1" stopIfTrue="1">
      <formula>OR($D$7="Eenmanszaak",AND($D$7&lt;&gt;"Eenmanszaak",$D$9&lt;&gt;"Drie"))</formula>
    </cfRule>
  </conditionalFormatting>
  <dataValidations count="3">
    <dataValidation type="list" allowBlank="1" showInputMessage="1" showErrorMessage="1" errorTitle="PAS UW ANTWOORD AAN" error="KLIK OP ANNULEREN  EN SELECTEER UW ANTWOORD" sqref="D7" xr:uid="{00000000-0002-0000-0300-000000000000}">
      <formula1>Rechtsvorm</formula1>
    </dataValidation>
    <dataValidation type="list" allowBlank="1" showInputMessage="1" showErrorMessage="1" sqref="D20 H20 L20" xr:uid="{00000000-0002-0000-0300-000001000000}">
      <formula1>Meewerkaftrek</formula1>
    </dataValidation>
    <dataValidation type="list" allowBlank="1" showInputMessage="1" showErrorMessage="1" sqref="D18:D19 D21:D23 D26:D27 H18:H19 H21:H23 H26:H27 L18:L19 L21:L23 L26:L27" xr:uid="{00000000-0002-0000-0300-000002000000}">
      <formula1>Ja_Nee</formula1>
    </dataValidation>
  </dataValidations>
  <hyperlinks>
    <hyperlink ref="A2" r:id="rId1" xr:uid="{00000000-0004-0000-0300-000000000000}"/>
  </hyperlinks>
  <pageMargins left="0.70866141732283472" right="0.70866141732283472" top="0.74803149606299213" bottom="0.74803149606299213" header="0.31496062992125984" footer="0.31496062992125984"/>
  <pageSetup paperSize="9" fitToHeight="0" orientation="portrait" r:id="rId2"/>
  <rowBreaks count="2" manualBreakCount="2">
    <brk id="60" min="1" max="12" man="1"/>
    <brk id="79" min="1" max="12"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PAS UW ANTWOORD AAN" error="KLIK OP ANNULEREN  EN SELECTEER UW ANTWOORD" xr:uid="{00000000-0002-0000-0300-000003000000}">
          <x14:formula1>
            <xm:f>IF($D$7&lt;&gt;Dropdowns!$R$2,Ondernemers,Dropdowns!$T$2)</xm:f>
          </x14:formula1>
          <xm:sqref>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tabColor rgb="FF232572"/>
    <pageSetUpPr fitToPage="1"/>
  </sheetPr>
  <dimension ref="A1:Q175"/>
  <sheetViews>
    <sheetView zoomScale="90" zoomScaleNormal="90" workbookViewId="0">
      <selection activeCell="C15" sqref="C15:D15"/>
    </sheetView>
  </sheetViews>
  <sheetFormatPr defaultRowHeight="15" x14ac:dyDescent="0.2"/>
  <cols>
    <col min="1" max="1" width="10" style="4" bestFit="1" customWidth="1"/>
    <col min="2" max="2" width="3.140625" style="4" customWidth="1"/>
    <col min="3" max="3" width="27.140625" style="4" bestFit="1" customWidth="1"/>
    <col min="4" max="4" width="7.5703125" style="4" customWidth="1"/>
    <col min="5" max="14" width="11.28515625" style="4" customWidth="1"/>
    <col min="15" max="16" width="12.42578125" style="4" bestFit="1" customWidth="1"/>
    <col min="17" max="17" width="11.28515625" style="32" customWidth="1"/>
    <col min="18" max="18" width="3.5703125" style="4" customWidth="1"/>
    <col min="19" max="19" width="9.140625" style="4"/>
    <col min="20" max="20" width="35.5703125" style="4" bestFit="1" customWidth="1"/>
    <col min="21" max="21" width="12.42578125" style="4" bestFit="1" customWidth="1"/>
    <col min="22" max="22" width="10.42578125" style="4" bestFit="1" customWidth="1"/>
    <col min="23" max="23" width="22.7109375" style="4" bestFit="1" customWidth="1"/>
    <col min="24" max="16384" width="9.140625" style="4"/>
  </cols>
  <sheetData>
    <row r="1" spans="1:17" s="1" customFormat="1" x14ac:dyDescent="0.25">
      <c r="A1" s="4"/>
      <c r="B1" s="4"/>
      <c r="C1" s="147" t="s">
        <v>198</v>
      </c>
    </row>
    <row r="2" spans="1:17" s="1" customFormat="1" x14ac:dyDescent="0.25">
      <c r="A2" s="147" t="s">
        <v>200</v>
      </c>
      <c r="B2" s="4"/>
      <c r="Q2" s="2"/>
    </row>
    <row r="3" spans="1:17" s="1" customFormat="1" ht="31.5" x14ac:dyDescent="0.5">
      <c r="B3" s="4"/>
      <c r="C3" s="431" t="s">
        <v>0</v>
      </c>
      <c r="D3" s="492"/>
      <c r="E3" s="492"/>
      <c r="F3" s="492"/>
      <c r="Q3" s="2"/>
    </row>
    <row r="4" spans="1:17" s="1" customFormat="1" ht="14.25" customHeight="1" x14ac:dyDescent="0.25">
      <c r="A4" s="4"/>
      <c r="B4" s="4"/>
      <c r="Q4" s="2"/>
    </row>
    <row r="5" spans="1:17" ht="14.25" customHeight="1" x14ac:dyDescent="0.2">
      <c r="C5" s="487" t="s">
        <v>401</v>
      </c>
      <c r="D5" s="494"/>
      <c r="E5" s="282" t="s">
        <v>148</v>
      </c>
      <c r="F5" s="92"/>
      <c r="G5" s="92"/>
      <c r="H5" s="487" t="s">
        <v>400</v>
      </c>
      <c r="I5" s="494"/>
      <c r="J5" s="282" t="s">
        <v>148</v>
      </c>
      <c r="K5" s="92"/>
      <c r="L5" s="92"/>
      <c r="M5" s="92"/>
      <c r="N5" s="92"/>
      <c r="O5" s="92"/>
      <c r="P5" s="92"/>
      <c r="Q5" s="93"/>
    </row>
    <row r="6" spans="1:17" ht="14.25" customHeight="1" x14ac:dyDescent="0.25">
      <c r="C6" s="489" t="s">
        <v>164</v>
      </c>
      <c r="D6" s="490"/>
      <c r="E6" s="279">
        <v>1</v>
      </c>
      <c r="F6" s="92"/>
      <c r="G6" s="92"/>
      <c r="H6" s="489" t="s">
        <v>402</v>
      </c>
      <c r="I6" s="490"/>
      <c r="J6" s="279">
        <v>0.21</v>
      </c>
      <c r="K6" s="92"/>
      <c r="L6" s="92"/>
      <c r="M6" s="92"/>
      <c r="N6" s="92"/>
      <c r="O6" s="92"/>
      <c r="P6" s="92"/>
      <c r="Q6" s="93"/>
    </row>
    <row r="7" spans="1:17" ht="14.25" customHeight="1" x14ac:dyDescent="0.25">
      <c r="C7" s="489" t="s">
        <v>3</v>
      </c>
      <c r="D7" s="490"/>
      <c r="E7" s="279">
        <v>0</v>
      </c>
      <c r="F7" s="92"/>
      <c r="G7" s="92"/>
      <c r="H7" s="489" t="s">
        <v>403</v>
      </c>
      <c r="I7" s="490"/>
      <c r="J7" s="279">
        <v>0.21</v>
      </c>
      <c r="K7" s="92"/>
      <c r="L7" s="92"/>
      <c r="M7" s="92"/>
      <c r="N7" s="92"/>
      <c r="O7" s="92"/>
      <c r="P7" s="92"/>
      <c r="Q7" s="93"/>
    </row>
    <row r="8" spans="1:17" ht="14.25" customHeight="1" x14ac:dyDescent="0.25">
      <c r="C8" s="489" t="s">
        <v>4</v>
      </c>
      <c r="D8" s="490"/>
      <c r="E8" s="279">
        <v>0</v>
      </c>
      <c r="F8" s="92"/>
      <c r="G8" s="92"/>
      <c r="H8" s="489" t="s">
        <v>404</v>
      </c>
      <c r="I8" s="490"/>
      <c r="J8" s="279">
        <v>0.21</v>
      </c>
      <c r="K8" s="92"/>
      <c r="L8" s="92"/>
      <c r="M8" s="92"/>
      <c r="N8" s="92"/>
      <c r="O8" s="92"/>
      <c r="P8" s="92"/>
      <c r="Q8" s="93"/>
    </row>
    <row r="9" spans="1:17" ht="14.25" customHeight="1" x14ac:dyDescent="0.25">
      <c r="C9" s="489" t="s">
        <v>163</v>
      </c>
      <c r="D9" s="490"/>
      <c r="E9" s="279">
        <v>0</v>
      </c>
      <c r="F9" s="92"/>
      <c r="G9" s="92"/>
      <c r="H9" s="92"/>
      <c r="I9" s="92"/>
      <c r="J9" s="92"/>
      <c r="K9" s="92"/>
      <c r="L9" s="92"/>
      <c r="M9" s="92"/>
      <c r="N9" s="92"/>
      <c r="O9" s="92"/>
      <c r="P9" s="92"/>
      <c r="Q9" s="93"/>
    </row>
    <row r="10" spans="1:17" ht="14.25" customHeight="1" x14ac:dyDescent="0.2">
      <c r="C10" s="489" t="s">
        <v>149</v>
      </c>
      <c r="D10" s="490"/>
      <c r="E10" s="280">
        <v>0</v>
      </c>
      <c r="F10" s="92"/>
      <c r="G10" s="92"/>
      <c r="H10" s="92"/>
      <c r="I10" s="92"/>
      <c r="J10" s="92"/>
      <c r="K10" s="92"/>
      <c r="L10" s="92"/>
      <c r="M10" s="92"/>
      <c r="N10" s="92"/>
      <c r="O10" s="92"/>
      <c r="P10" s="92"/>
      <c r="Q10" s="93"/>
    </row>
    <row r="11" spans="1:17" ht="14.25" customHeight="1" x14ac:dyDescent="0.2">
      <c r="C11" s="483" t="s">
        <v>158</v>
      </c>
      <c r="D11" s="495"/>
      <c r="E11" s="281">
        <f>SUM(E6:E9)</f>
        <v>1</v>
      </c>
      <c r="F11" s="95" t="str">
        <f>IF(E11+E10=100%,"","ONJUIST")</f>
        <v/>
      </c>
      <c r="G11" s="92"/>
      <c r="H11" s="92"/>
      <c r="I11" s="92"/>
      <c r="J11" s="92"/>
      <c r="K11" s="92"/>
      <c r="L11" s="92"/>
      <c r="M11" s="92"/>
      <c r="N11" s="92"/>
      <c r="O11" s="92"/>
      <c r="P11" s="92"/>
      <c r="Q11" s="93"/>
    </row>
    <row r="12" spans="1:17" ht="14.25" customHeight="1" x14ac:dyDescent="0.2"/>
    <row r="13" spans="1:17" ht="21" x14ac:dyDescent="0.2">
      <c r="C13" s="169">
        <f>Intro!$B$4</f>
        <v>2023</v>
      </c>
    </row>
    <row r="14" spans="1:17" ht="14.25" customHeight="1" x14ac:dyDescent="0.2">
      <c r="C14" s="487" t="s">
        <v>1</v>
      </c>
      <c r="D14" s="488"/>
      <c r="E14" s="237" t="s">
        <v>181</v>
      </c>
      <c r="F14" s="237" t="s">
        <v>182</v>
      </c>
      <c r="G14" s="237" t="s">
        <v>183</v>
      </c>
      <c r="H14" s="237" t="s">
        <v>184</v>
      </c>
      <c r="I14" s="237" t="s">
        <v>185</v>
      </c>
      <c r="J14" s="237" t="s">
        <v>186</v>
      </c>
      <c r="K14" s="237" t="s">
        <v>187</v>
      </c>
      <c r="L14" s="237" t="s">
        <v>188</v>
      </c>
      <c r="M14" s="237" t="s">
        <v>189</v>
      </c>
      <c r="N14" s="237" t="s">
        <v>190</v>
      </c>
      <c r="O14" s="237" t="s">
        <v>191</v>
      </c>
      <c r="P14" s="237" t="s">
        <v>192</v>
      </c>
      <c r="Q14" s="303" t="s">
        <v>2</v>
      </c>
    </row>
    <row r="15" spans="1:17" ht="14.25" customHeight="1" x14ac:dyDescent="0.2">
      <c r="C15" s="489" t="s">
        <v>145</v>
      </c>
      <c r="D15" s="491"/>
      <c r="E15" s="283"/>
      <c r="F15" s="283"/>
      <c r="G15" s="283"/>
      <c r="H15" s="283"/>
      <c r="I15" s="283"/>
      <c r="J15" s="283"/>
      <c r="K15" s="283"/>
      <c r="L15" s="283"/>
      <c r="M15" s="283"/>
      <c r="N15" s="283"/>
      <c r="O15" s="283"/>
      <c r="P15" s="283"/>
      <c r="Q15" s="284">
        <f>SUM(E15:P15)</f>
        <v>0</v>
      </c>
    </row>
    <row r="16" spans="1:17" ht="14.25" customHeight="1" x14ac:dyDescent="0.2">
      <c r="C16" s="489" t="s">
        <v>146</v>
      </c>
      <c r="D16" s="491"/>
      <c r="E16" s="408"/>
      <c r="F16" s="408"/>
      <c r="G16" s="408"/>
      <c r="H16" s="408"/>
      <c r="I16" s="408"/>
      <c r="J16" s="408"/>
      <c r="K16" s="408"/>
      <c r="L16" s="408"/>
      <c r="M16" s="408"/>
      <c r="N16" s="408"/>
      <c r="O16" s="408"/>
      <c r="P16" s="408"/>
      <c r="Q16" s="284"/>
    </row>
    <row r="17" spans="3:17" ht="14.25" customHeight="1" x14ac:dyDescent="0.25">
      <c r="C17" s="485" t="s">
        <v>157</v>
      </c>
      <c r="D17" s="486"/>
      <c r="E17" s="286">
        <f>E18*$J$6</f>
        <v>0</v>
      </c>
      <c r="F17" s="286">
        <f t="shared" ref="F17:O17" si="0">F18*$J$6</f>
        <v>0</v>
      </c>
      <c r="G17" s="286">
        <f t="shared" si="0"/>
        <v>0</v>
      </c>
      <c r="H17" s="286">
        <f t="shared" si="0"/>
        <v>0</v>
      </c>
      <c r="I17" s="286">
        <f t="shared" si="0"/>
        <v>0</v>
      </c>
      <c r="J17" s="286">
        <f t="shared" si="0"/>
        <v>0</v>
      </c>
      <c r="K17" s="286">
        <f t="shared" si="0"/>
        <v>0</v>
      </c>
      <c r="L17" s="286">
        <f t="shared" si="0"/>
        <v>0</v>
      </c>
      <c r="M17" s="286">
        <f t="shared" si="0"/>
        <v>0</v>
      </c>
      <c r="N17" s="286">
        <f t="shared" si="0"/>
        <v>0</v>
      </c>
      <c r="O17" s="286">
        <f t="shared" si="0"/>
        <v>0</v>
      </c>
      <c r="P17" s="286">
        <f>P18*$J$6</f>
        <v>0</v>
      </c>
      <c r="Q17" s="284">
        <f>SUM(E17:P17)</f>
        <v>0</v>
      </c>
    </row>
    <row r="18" spans="3:17" ht="14.25" customHeight="1" x14ac:dyDescent="0.2">
      <c r="C18" s="483" t="s">
        <v>138</v>
      </c>
      <c r="D18" s="484"/>
      <c r="E18" s="287">
        <f>E15*E16</f>
        <v>0</v>
      </c>
      <c r="F18" s="287">
        <f t="shared" ref="F18:P18" si="1">F15*F16</f>
        <v>0</v>
      </c>
      <c r="G18" s="287">
        <f t="shared" si="1"/>
        <v>0</v>
      </c>
      <c r="H18" s="287">
        <f t="shared" si="1"/>
        <v>0</v>
      </c>
      <c r="I18" s="287">
        <f t="shared" si="1"/>
        <v>0</v>
      </c>
      <c r="J18" s="287">
        <f t="shared" si="1"/>
        <v>0</v>
      </c>
      <c r="K18" s="287">
        <f t="shared" si="1"/>
        <v>0</v>
      </c>
      <c r="L18" s="287">
        <f t="shared" si="1"/>
        <v>0</v>
      </c>
      <c r="M18" s="287">
        <f t="shared" si="1"/>
        <v>0</v>
      </c>
      <c r="N18" s="287">
        <f t="shared" si="1"/>
        <v>0</v>
      </c>
      <c r="O18" s="287">
        <f t="shared" si="1"/>
        <v>0</v>
      </c>
      <c r="P18" s="287">
        <f t="shared" si="1"/>
        <v>0</v>
      </c>
      <c r="Q18" s="284">
        <f>SUM(E18:P18)</f>
        <v>0</v>
      </c>
    </row>
    <row r="19" spans="3:17" ht="14.25" customHeight="1" x14ac:dyDescent="0.2">
      <c r="C19" s="288"/>
      <c r="D19" s="289"/>
      <c r="E19" s="290"/>
      <c r="F19" s="290"/>
      <c r="G19" s="290"/>
      <c r="H19" s="290"/>
      <c r="I19" s="290"/>
      <c r="J19" s="290"/>
      <c r="K19" s="290"/>
      <c r="L19" s="290"/>
      <c r="M19" s="290"/>
      <c r="N19" s="290"/>
      <c r="O19" s="290"/>
      <c r="P19" s="290"/>
      <c r="Q19" s="291"/>
    </row>
    <row r="20" spans="3:17" ht="14.25" customHeight="1" x14ac:dyDescent="0.2">
      <c r="C20" s="489" t="s">
        <v>139</v>
      </c>
      <c r="D20" s="491"/>
      <c r="E20" s="283"/>
      <c r="F20" s="283"/>
      <c r="G20" s="283"/>
      <c r="H20" s="283"/>
      <c r="I20" s="283"/>
      <c r="J20" s="283"/>
      <c r="K20" s="283"/>
      <c r="L20" s="283"/>
      <c r="M20" s="283"/>
      <c r="N20" s="283"/>
      <c r="O20" s="283"/>
      <c r="P20" s="283"/>
      <c r="Q20" s="284">
        <f>SUM(E20:P20)</f>
        <v>0</v>
      </c>
    </row>
    <row r="21" spans="3:17" ht="14.25" customHeight="1" x14ac:dyDescent="0.2">
      <c r="C21" s="489" t="s">
        <v>140</v>
      </c>
      <c r="D21" s="491"/>
      <c r="E21" s="292"/>
      <c r="F21" s="292"/>
      <c r="G21" s="292"/>
      <c r="H21" s="292"/>
      <c r="I21" s="292"/>
      <c r="J21" s="292"/>
      <c r="K21" s="292"/>
      <c r="L21" s="292"/>
      <c r="M21" s="292"/>
      <c r="N21" s="292"/>
      <c r="O21" s="292"/>
      <c r="P21" s="292"/>
      <c r="Q21" s="284"/>
    </row>
    <row r="22" spans="3:17" ht="14.25" customHeight="1" x14ac:dyDescent="0.25">
      <c r="C22" s="485" t="s">
        <v>157</v>
      </c>
      <c r="D22" s="486"/>
      <c r="E22" s="286">
        <f>E23*$J$7</f>
        <v>0</v>
      </c>
      <c r="F22" s="286">
        <f t="shared" ref="F22:P22" si="2">F23*$J$7</f>
        <v>0</v>
      </c>
      <c r="G22" s="286">
        <f t="shared" si="2"/>
        <v>0</v>
      </c>
      <c r="H22" s="286">
        <f t="shared" si="2"/>
        <v>0</v>
      </c>
      <c r="I22" s="286">
        <f t="shared" si="2"/>
        <v>0</v>
      </c>
      <c r="J22" s="286">
        <f t="shared" si="2"/>
        <v>0</v>
      </c>
      <c r="K22" s="286">
        <f t="shared" si="2"/>
        <v>0</v>
      </c>
      <c r="L22" s="286">
        <f t="shared" si="2"/>
        <v>0</v>
      </c>
      <c r="M22" s="286">
        <f t="shared" si="2"/>
        <v>0</v>
      </c>
      <c r="N22" s="286">
        <f t="shared" si="2"/>
        <v>0</v>
      </c>
      <c r="O22" s="286">
        <f t="shared" si="2"/>
        <v>0</v>
      </c>
      <c r="P22" s="286">
        <f t="shared" si="2"/>
        <v>0</v>
      </c>
      <c r="Q22" s="284">
        <f>SUM(E22:P22)</f>
        <v>0</v>
      </c>
    </row>
    <row r="23" spans="3:17" ht="14.25" customHeight="1" x14ac:dyDescent="0.2">
      <c r="C23" s="483" t="s">
        <v>141</v>
      </c>
      <c r="D23" s="484"/>
      <c r="E23" s="287">
        <f t="shared" ref="E23:P23" si="3">E20*E21</f>
        <v>0</v>
      </c>
      <c r="F23" s="287">
        <f t="shared" si="3"/>
        <v>0</v>
      </c>
      <c r="G23" s="287">
        <f t="shared" si="3"/>
        <v>0</v>
      </c>
      <c r="H23" s="287">
        <f t="shared" si="3"/>
        <v>0</v>
      </c>
      <c r="I23" s="287">
        <f t="shared" si="3"/>
        <v>0</v>
      </c>
      <c r="J23" s="287">
        <f t="shared" si="3"/>
        <v>0</v>
      </c>
      <c r="K23" s="287">
        <f t="shared" si="3"/>
        <v>0</v>
      </c>
      <c r="L23" s="287">
        <f t="shared" si="3"/>
        <v>0</v>
      </c>
      <c r="M23" s="287">
        <f t="shared" si="3"/>
        <v>0</v>
      </c>
      <c r="N23" s="287">
        <f t="shared" si="3"/>
        <v>0</v>
      </c>
      <c r="O23" s="287">
        <f t="shared" si="3"/>
        <v>0</v>
      </c>
      <c r="P23" s="287">
        <f t="shared" si="3"/>
        <v>0</v>
      </c>
      <c r="Q23" s="284">
        <f>SUM(E23:P23)</f>
        <v>0</v>
      </c>
    </row>
    <row r="24" spans="3:17" ht="14.25" customHeight="1" x14ac:dyDescent="0.2">
      <c r="C24" s="288"/>
      <c r="D24" s="289"/>
      <c r="E24" s="290"/>
      <c r="F24" s="290"/>
      <c r="G24" s="290"/>
      <c r="H24" s="290"/>
      <c r="I24" s="290"/>
      <c r="J24" s="290"/>
      <c r="K24" s="290"/>
      <c r="L24" s="290"/>
      <c r="M24" s="290"/>
      <c r="N24" s="290"/>
      <c r="O24" s="290"/>
      <c r="P24" s="290"/>
      <c r="Q24" s="291"/>
    </row>
    <row r="25" spans="3:17" ht="14.25" customHeight="1" x14ac:dyDescent="0.2">
      <c r="C25" s="489" t="s">
        <v>142</v>
      </c>
      <c r="D25" s="491"/>
      <c r="E25" s="283"/>
      <c r="F25" s="283"/>
      <c r="G25" s="283"/>
      <c r="H25" s="283"/>
      <c r="I25" s="283"/>
      <c r="J25" s="283"/>
      <c r="K25" s="283"/>
      <c r="L25" s="283"/>
      <c r="M25" s="283"/>
      <c r="N25" s="283"/>
      <c r="O25" s="283"/>
      <c r="P25" s="283"/>
      <c r="Q25" s="284">
        <f>SUM(E25:P25)</f>
        <v>0</v>
      </c>
    </row>
    <row r="26" spans="3:17" ht="14.25" customHeight="1" x14ac:dyDescent="0.2">
      <c r="C26" s="489" t="s">
        <v>143</v>
      </c>
      <c r="D26" s="491"/>
      <c r="E26" s="292"/>
      <c r="F26" s="292"/>
      <c r="G26" s="292"/>
      <c r="H26" s="292"/>
      <c r="I26" s="292"/>
      <c r="J26" s="292"/>
      <c r="K26" s="292"/>
      <c r="L26" s="292"/>
      <c r="M26" s="292"/>
      <c r="N26" s="292"/>
      <c r="O26" s="292"/>
      <c r="P26" s="292"/>
      <c r="Q26" s="284"/>
    </row>
    <row r="27" spans="3:17" ht="14.25" customHeight="1" x14ac:dyDescent="0.25">
      <c r="C27" s="485" t="s">
        <v>157</v>
      </c>
      <c r="D27" s="486"/>
      <c r="E27" s="286">
        <f>E28*$J$8</f>
        <v>0</v>
      </c>
      <c r="F27" s="286">
        <f t="shared" ref="F27:P27" si="4">F28*$J$8</f>
        <v>0</v>
      </c>
      <c r="G27" s="286">
        <f t="shared" si="4"/>
        <v>0</v>
      </c>
      <c r="H27" s="286">
        <f t="shared" si="4"/>
        <v>0</v>
      </c>
      <c r="I27" s="286">
        <f t="shared" si="4"/>
        <v>0</v>
      </c>
      <c r="J27" s="286">
        <f t="shared" si="4"/>
        <v>0</v>
      </c>
      <c r="K27" s="286">
        <f t="shared" si="4"/>
        <v>0</v>
      </c>
      <c r="L27" s="286">
        <f t="shared" si="4"/>
        <v>0</v>
      </c>
      <c r="M27" s="286">
        <f t="shared" si="4"/>
        <v>0</v>
      </c>
      <c r="N27" s="286">
        <f t="shared" si="4"/>
        <v>0</v>
      </c>
      <c r="O27" s="286">
        <f t="shared" si="4"/>
        <v>0</v>
      </c>
      <c r="P27" s="286">
        <f t="shared" si="4"/>
        <v>0</v>
      </c>
      <c r="Q27" s="284">
        <f>SUM(E27:P27)</f>
        <v>0</v>
      </c>
    </row>
    <row r="28" spans="3:17" ht="14.25" customHeight="1" x14ac:dyDescent="0.2">
      <c r="C28" s="483" t="s">
        <v>144</v>
      </c>
      <c r="D28" s="484"/>
      <c r="E28" s="287">
        <f t="shared" ref="E28:P28" si="5">E25*E26</f>
        <v>0</v>
      </c>
      <c r="F28" s="287">
        <f t="shared" si="5"/>
        <v>0</v>
      </c>
      <c r="G28" s="287">
        <f t="shared" si="5"/>
        <v>0</v>
      </c>
      <c r="H28" s="287">
        <f t="shared" si="5"/>
        <v>0</v>
      </c>
      <c r="I28" s="287">
        <f t="shared" si="5"/>
        <v>0</v>
      </c>
      <c r="J28" s="287">
        <f t="shared" si="5"/>
        <v>0</v>
      </c>
      <c r="K28" s="287">
        <f t="shared" si="5"/>
        <v>0</v>
      </c>
      <c r="L28" s="287">
        <f t="shared" si="5"/>
        <v>0</v>
      </c>
      <c r="M28" s="287">
        <f t="shared" si="5"/>
        <v>0</v>
      </c>
      <c r="N28" s="287">
        <f t="shared" si="5"/>
        <v>0</v>
      </c>
      <c r="O28" s="287">
        <f t="shared" si="5"/>
        <v>0</v>
      </c>
      <c r="P28" s="287">
        <f t="shared" si="5"/>
        <v>0</v>
      </c>
      <c r="Q28" s="284">
        <f>SUM(E28:P28)</f>
        <v>0</v>
      </c>
    </row>
    <row r="29" spans="3:17" ht="14.25" customHeight="1" x14ac:dyDescent="0.2">
      <c r="C29" s="288"/>
      <c r="D29" s="289"/>
      <c r="E29" s="290"/>
      <c r="F29" s="290"/>
      <c r="G29" s="290"/>
      <c r="H29" s="290"/>
      <c r="I29" s="290"/>
      <c r="J29" s="290"/>
      <c r="K29" s="290"/>
      <c r="L29" s="290"/>
      <c r="M29" s="290"/>
      <c r="N29" s="290"/>
      <c r="O29" s="290"/>
      <c r="P29" s="290"/>
      <c r="Q29" s="291"/>
    </row>
    <row r="30" spans="3:17" ht="14.25" customHeight="1" x14ac:dyDescent="0.2">
      <c r="C30" s="483" t="s">
        <v>159</v>
      </c>
      <c r="D30" s="484"/>
      <c r="E30" s="293">
        <f>+E18+E23+E28</f>
        <v>0</v>
      </c>
      <c r="F30" s="293">
        <f t="shared" ref="F30:P30" si="6">+F18+F23+F28</f>
        <v>0</v>
      </c>
      <c r="G30" s="293">
        <f t="shared" si="6"/>
        <v>0</v>
      </c>
      <c r="H30" s="293">
        <f t="shared" si="6"/>
        <v>0</v>
      </c>
      <c r="I30" s="293">
        <f t="shared" si="6"/>
        <v>0</v>
      </c>
      <c r="J30" s="293">
        <f t="shared" si="6"/>
        <v>0</v>
      </c>
      <c r="K30" s="293">
        <f t="shared" si="6"/>
        <v>0</v>
      </c>
      <c r="L30" s="293">
        <f t="shared" si="6"/>
        <v>0</v>
      </c>
      <c r="M30" s="293">
        <f t="shared" si="6"/>
        <v>0</v>
      </c>
      <c r="N30" s="293">
        <f t="shared" si="6"/>
        <v>0</v>
      </c>
      <c r="O30" s="293">
        <f t="shared" si="6"/>
        <v>0</v>
      </c>
      <c r="P30" s="293">
        <f t="shared" si="6"/>
        <v>0</v>
      </c>
      <c r="Q30" s="294">
        <f>SUM(E30:P30)</f>
        <v>0</v>
      </c>
    </row>
    <row r="31" spans="3:17" ht="14.25" customHeight="1" x14ac:dyDescent="0.2">
      <c r="C31" s="483" t="s">
        <v>160</v>
      </c>
      <c r="D31" s="484"/>
      <c r="E31" s="293">
        <f>+E17+E22+E27</f>
        <v>0</v>
      </c>
      <c r="F31" s="293">
        <f t="shared" ref="F31:P31" si="7">+F17+F22+F27</f>
        <v>0</v>
      </c>
      <c r="G31" s="293">
        <f t="shared" si="7"/>
        <v>0</v>
      </c>
      <c r="H31" s="293">
        <f t="shared" si="7"/>
        <v>0</v>
      </c>
      <c r="I31" s="293">
        <f t="shared" si="7"/>
        <v>0</v>
      </c>
      <c r="J31" s="293">
        <f t="shared" si="7"/>
        <v>0</v>
      </c>
      <c r="K31" s="293">
        <f t="shared" si="7"/>
        <v>0</v>
      </c>
      <c r="L31" s="293">
        <f t="shared" si="7"/>
        <v>0</v>
      </c>
      <c r="M31" s="293">
        <f t="shared" si="7"/>
        <v>0</v>
      </c>
      <c r="N31" s="293">
        <f t="shared" si="7"/>
        <v>0</v>
      </c>
      <c r="O31" s="293">
        <f t="shared" si="7"/>
        <v>0</v>
      </c>
      <c r="P31" s="293">
        <f t="shared" si="7"/>
        <v>0</v>
      </c>
      <c r="Q31" s="294">
        <f>SUM(E31:P31)</f>
        <v>0</v>
      </c>
    </row>
    <row r="32" spans="3:17" ht="14.25" customHeight="1" x14ac:dyDescent="0.2">
      <c r="C32" s="288"/>
      <c r="D32" s="295"/>
      <c r="E32" s="296"/>
      <c r="F32" s="296"/>
      <c r="G32" s="296"/>
      <c r="H32" s="296"/>
      <c r="I32" s="296"/>
      <c r="J32" s="296"/>
      <c r="K32" s="296"/>
      <c r="L32" s="296"/>
      <c r="M32" s="296"/>
      <c r="N32" s="296"/>
      <c r="O32" s="296"/>
      <c r="P32" s="296"/>
      <c r="Q32" s="297"/>
    </row>
    <row r="33" spans="3:17" ht="14.25" customHeight="1" x14ac:dyDescent="0.2">
      <c r="C33" s="483" t="s">
        <v>31</v>
      </c>
      <c r="D33" s="484"/>
      <c r="E33" s="240" t="s">
        <v>181</v>
      </c>
      <c r="F33" s="240" t="s">
        <v>182</v>
      </c>
      <c r="G33" s="240" t="s">
        <v>183</v>
      </c>
      <c r="H33" s="240" t="s">
        <v>184</v>
      </c>
      <c r="I33" s="240" t="s">
        <v>185</v>
      </c>
      <c r="J33" s="240" t="s">
        <v>186</v>
      </c>
      <c r="K33" s="240" t="s">
        <v>187</v>
      </c>
      <c r="L33" s="240" t="s">
        <v>188</v>
      </c>
      <c r="M33" s="240" t="s">
        <v>189</v>
      </c>
      <c r="N33" s="240" t="s">
        <v>190</v>
      </c>
      <c r="O33" s="240" t="s">
        <v>191</v>
      </c>
      <c r="P33" s="240" t="s">
        <v>192</v>
      </c>
      <c r="Q33" s="304" t="s">
        <v>2</v>
      </c>
    </row>
    <row r="34" spans="3:17" ht="14.25" customHeight="1" x14ac:dyDescent="0.2">
      <c r="C34" s="489" t="s">
        <v>161</v>
      </c>
      <c r="D34" s="490"/>
      <c r="E34" s="287">
        <f>E30*$E$6</f>
        <v>0</v>
      </c>
      <c r="F34" s="287">
        <f>(F30*$E$6)+(E30*$E$7)</f>
        <v>0</v>
      </c>
      <c r="G34" s="287">
        <f>(G30*$E$6)+(F30*$E$7)+(E30*$E$8)</f>
        <v>0</v>
      </c>
      <c r="H34" s="287">
        <f t="shared" ref="H34:P35" si="8">(H30*$E$6)+(G30*$E$7)+(F30*$E$8)+(E30*$E$9)</f>
        <v>0</v>
      </c>
      <c r="I34" s="287">
        <f t="shared" si="8"/>
        <v>0</v>
      </c>
      <c r="J34" s="287">
        <f t="shared" si="8"/>
        <v>0</v>
      </c>
      <c r="K34" s="287">
        <f t="shared" si="8"/>
        <v>0</v>
      </c>
      <c r="L34" s="287">
        <f t="shared" si="8"/>
        <v>0</v>
      </c>
      <c r="M34" s="287">
        <f t="shared" si="8"/>
        <v>0</v>
      </c>
      <c r="N34" s="287">
        <f t="shared" si="8"/>
        <v>0</v>
      </c>
      <c r="O34" s="287">
        <f t="shared" si="8"/>
        <v>0</v>
      </c>
      <c r="P34" s="287">
        <f t="shared" si="8"/>
        <v>0</v>
      </c>
      <c r="Q34" s="284">
        <f>SUM(E34:P34)</f>
        <v>0</v>
      </c>
    </row>
    <row r="35" spans="3:17" ht="14.25" customHeight="1" x14ac:dyDescent="0.2">
      <c r="C35" s="489" t="s">
        <v>162</v>
      </c>
      <c r="D35" s="490"/>
      <c r="E35" s="287">
        <f>E31*$E$6</f>
        <v>0</v>
      </c>
      <c r="F35" s="287">
        <f>(F31*$E$6)+(E31*$E$7)</f>
        <v>0</v>
      </c>
      <c r="G35" s="287">
        <f>(G31*$E$6)+(F31*$E$7)+(E31*$E$8)</f>
        <v>0</v>
      </c>
      <c r="H35" s="287">
        <f t="shared" si="8"/>
        <v>0</v>
      </c>
      <c r="I35" s="287">
        <f t="shared" si="8"/>
        <v>0</v>
      </c>
      <c r="J35" s="287">
        <f t="shared" si="8"/>
        <v>0</v>
      </c>
      <c r="K35" s="287">
        <f t="shared" si="8"/>
        <v>0</v>
      </c>
      <c r="L35" s="287">
        <f t="shared" si="8"/>
        <v>0</v>
      </c>
      <c r="M35" s="287">
        <f t="shared" si="8"/>
        <v>0</v>
      </c>
      <c r="N35" s="287">
        <f t="shared" si="8"/>
        <v>0</v>
      </c>
      <c r="O35" s="287">
        <f t="shared" si="8"/>
        <v>0</v>
      </c>
      <c r="P35" s="287">
        <f t="shared" si="8"/>
        <v>0</v>
      </c>
      <c r="Q35" s="284">
        <f>SUM(E35:P35)</f>
        <v>0</v>
      </c>
    </row>
    <row r="36" spans="3:17" ht="14.25" customHeight="1" x14ac:dyDescent="0.2">
      <c r="C36" s="489" t="s">
        <v>147</v>
      </c>
      <c r="D36" s="490"/>
      <c r="E36" s="298">
        <f t="shared" ref="E36:P36" si="9">E30*$E$10</f>
        <v>0</v>
      </c>
      <c r="F36" s="298">
        <f t="shared" si="9"/>
        <v>0</v>
      </c>
      <c r="G36" s="298">
        <f t="shared" si="9"/>
        <v>0</v>
      </c>
      <c r="H36" s="298">
        <f t="shared" si="9"/>
        <v>0</v>
      </c>
      <c r="I36" s="298">
        <f t="shared" si="9"/>
        <v>0</v>
      </c>
      <c r="J36" s="298">
        <f t="shared" si="9"/>
        <v>0</v>
      </c>
      <c r="K36" s="298">
        <f t="shared" si="9"/>
        <v>0</v>
      </c>
      <c r="L36" s="298">
        <f t="shared" si="9"/>
        <v>0</v>
      </c>
      <c r="M36" s="298">
        <f t="shared" si="9"/>
        <v>0</v>
      </c>
      <c r="N36" s="298">
        <f t="shared" si="9"/>
        <v>0</v>
      </c>
      <c r="O36" s="298">
        <f t="shared" si="9"/>
        <v>0</v>
      </c>
      <c r="P36" s="298">
        <f t="shared" si="9"/>
        <v>0</v>
      </c>
      <c r="Q36" s="299">
        <f>SUM(E36:P36)</f>
        <v>0</v>
      </c>
    </row>
    <row r="37" spans="3:17" ht="14.25" customHeight="1" x14ac:dyDescent="0.2">
      <c r="C37" s="483" t="s">
        <v>2</v>
      </c>
      <c r="D37" s="493"/>
      <c r="E37" s="300">
        <f t="shared" ref="E37:P37" si="10">SUM(E34:E35)</f>
        <v>0</v>
      </c>
      <c r="F37" s="300">
        <f t="shared" si="10"/>
        <v>0</v>
      </c>
      <c r="G37" s="300">
        <f t="shared" si="10"/>
        <v>0</v>
      </c>
      <c r="H37" s="300">
        <f t="shared" si="10"/>
        <v>0</v>
      </c>
      <c r="I37" s="300">
        <f t="shared" si="10"/>
        <v>0</v>
      </c>
      <c r="J37" s="300">
        <f t="shared" si="10"/>
        <v>0</v>
      </c>
      <c r="K37" s="300">
        <f t="shared" si="10"/>
        <v>0</v>
      </c>
      <c r="L37" s="300">
        <f t="shared" si="10"/>
        <v>0</v>
      </c>
      <c r="M37" s="300">
        <f t="shared" si="10"/>
        <v>0</v>
      </c>
      <c r="N37" s="300">
        <f t="shared" si="10"/>
        <v>0</v>
      </c>
      <c r="O37" s="300">
        <f t="shared" si="10"/>
        <v>0</v>
      </c>
      <c r="P37" s="300">
        <f t="shared" si="10"/>
        <v>0</v>
      </c>
      <c r="Q37" s="294">
        <f>SUM(E37:P37)</f>
        <v>0</v>
      </c>
    </row>
    <row r="38" spans="3:17" ht="14.25" customHeight="1" x14ac:dyDescent="0.2">
      <c r="C38" s="288"/>
      <c r="D38" s="295"/>
      <c r="E38" s="296"/>
      <c r="F38" s="296"/>
      <c r="G38" s="296"/>
      <c r="H38" s="296"/>
      <c r="I38" s="296"/>
      <c r="J38" s="296"/>
      <c r="K38" s="296"/>
      <c r="L38" s="296"/>
      <c r="M38" s="296"/>
      <c r="N38" s="296"/>
      <c r="O38" s="296"/>
      <c r="P38" s="296"/>
      <c r="Q38" s="297"/>
    </row>
    <row r="39" spans="3:17" ht="14.25" customHeight="1" x14ac:dyDescent="0.2">
      <c r="C39" s="483" t="s">
        <v>13</v>
      </c>
      <c r="D39" s="484"/>
      <c r="E39" s="240" t="s">
        <v>181</v>
      </c>
      <c r="F39" s="240" t="s">
        <v>182</v>
      </c>
      <c r="G39" s="240" t="s">
        <v>183</v>
      </c>
      <c r="H39" s="240" t="s">
        <v>184</v>
      </c>
      <c r="I39" s="240" t="s">
        <v>185</v>
      </c>
      <c r="J39" s="240" t="s">
        <v>186</v>
      </c>
      <c r="K39" s="240" t="s">
        <v>187</v>
      </c>
      <c r="L39" s="240" t="s">
        <v>188</v>
      </c>
      <c r="M39" s="240" t="s">
        <v>189</v>
      </c>
      <c r="N39" s="240" t="s">
        <v>190</v>
      </c>
      <c r="O39" s="240" t="s">
        <v>191</v>
      </c>
      <c r="P39" s="240" t="s">
        <v>192</v>
      </c>
      <c r="Q39" s="304" t="s">
        <v>333</v>
      </c>
    </row>
    <row r="40" spans="3:17" ht="14.25" customHeight="1" x14ac:dyDescent="0.2">
      <c r="C40" s="489" t="s">
        <v>215</v>
      </c>
      <c r="D40" s="490"/>
      <c r="E40" s="287">
        <f>E30+E31-E37</f>
        <v>0</v>
      </c>
      <c r="F40" s="287">
        <f>E40+F30+F31-F37</f>
        <v>0</v>
      </c>
      <c r="G40" s="287">
        <f t="shared" ref="G40:P40" si="11">F40+G30+G31-G37</f>
        <v>0</v>
      </c>
      <c r="H40" s="287">
        <f t="shared" si="11"/>
        <v>0</v>
      </c>
      <c r="I40" s="287">
        <f t="shared" si="11"/>
        <v>0</v>
      </c>
      <c r="J40" s="287">
        <f t="shared" si="11"/>
        <v>0</v>
      </c>
      <c r="K40" s="287">
        <f t="shared" si="11"/>
        <v>0</v>
      </c>
      <c r="L40" s="287">
        <f t="shared" si="11"/>
        <v>0</v>
      </c>
      <c r="M40" s="287">
        <f t="shared" si="11"/>
        <v>0</v>
      </c>
      <c r="N40" s="287">
        <f t="shared" si="11"/>
        <v>0</v>
      </c>
      <c r="O40" s="287">
        <f t="shared" si="11"/>
        <v>0</v>
      </c>
      <c r="P40" s="287">
        <f t="shared" si="11"/>
        <v>0</v>
      </c>
      <c r="Q40" s="284">
        <f>Q30+Q31-Q37</f>
        <v>0</v>
      </c>
    </row>
    <row r="41" spans="3:17" ht="14.25" customHeight="1" x14ac:dyDescent="0.2"/>
    <row r="42" spans="3:17" ht="14.25" customHeight="1" x14ac:dyDescent="0.2"/>
    <row r="43" spans="3:17" ht="21" x14ac:dyDescent="0.2">
      <c r="C43" s="169">
        <f>C13+1</f>
        <v>2024</v>
      </c>
    </row>
    <row r="44" spans="3:17" ht="14.25" customHeight="1" x14ac:dyDescent="0.2">
      <c r="C44" s="487" t="s">
        <v>1</v>
      </c>
      <c r="D44" s="488"/>
      <c r="E44" s="237" t="s">
        <v>181</v>
      </c>
      <c r="F44" s="237" t="s">
        <v>182</v>
      </c>
      <c r="G44" s="237" t="s">
        <v>183</v>
      </c>
      <c r="H44" s="237" t="s">
        <v>184</v>
      </c>
      <c r="I44" s="237" t="s">
        <v>185</v>
      </c>
      <c r="J44" s="237" t="s">
        <v>186</v>
      </c>
      <c r="K44" s="237" t="s">
        <v>187</v>
      </c>
      <c r="L44" s="237" t="s">
        <v>188</v>
      </c>
      <c r="M44" s="237" t="s">
        <v>189</v>
      </c>
      <c r="N44" s="237" t="s">
        <v>190</v>
      </c>
      <c r="O44" s="237" t="s">
        <v>191</v>
      </c>
      <c r="P44" s="237" t="s">
        <v>192</v>
      </c>
      <c r="Q44" s="303" t="s">
        <v>2</v>
      </c>
    </row>
    <row r="45" spans="3:17" ht="14.25" customHeight="1" x14ac:dyDescent="0.2">
      <c r="C45" s="489" t="s">
        <v>145</v>
      </c>
      <c r="D45" s="491"/>
      <c r="E45" s="283"/>
      <c r="F45" s="283"/>
      <c r="G45" s="283"/>
      <c r="H45" s="283"/>
      <c r="I45" s="283"/>
      <c r="J45" s="283"/>
      <c r="K45" s="283"/>
      <c r="L45" s="283"/>
      <c r="M45" s="283"/>
      <c r="N45" s="283"/>
      <c r="O45" s="283"/>
      <c r="P45" s="283"/>
      <c r="Q45" s="284">
        <f>SUM(E45:P45)</f>
        <v>0</v>
      </c>
    </row>
    <row r="46" spans="3:17" ht="14.25" customHeight="1" x14ac:dyDescent="0.2">
      <c r="C46" s="489" t="s">
        <v>146</v>
      </c>
      <c r="D46" s="491"/>
      <c r="E46" s="285"/>
      <c r="F46" s="292"/>
      <c r="G46" s="292"/>
      <c r="H46" s="292"/>
      <c r="I46" s="292"/>
      <c r="J46" s="292"/>
      <c r="K46" s="292"/>
      <c r="L46" s="292"/>
      <c r="M46" s="292"/>
      <c r="N46" s="292"/>
      <c r="O46" s="292"/>
      <c r="P46" s="292"/>
      <c r="Q46" s="284"/>
    </row>
    <row r="47" spans="3:17" ht="14.25" customHeight="1" x14ac:dyDescent="0.25">
      <c r="C47" s="485" t="s">
        <v>157</v>
      </c>
      <c r="D47" s="486"/>
      <c r="E47" s="286">
        <f>E48*$J$6</f>
        <v>0</v>
      </c>
      <c r="F47" s="286">
        <f t="shared" ref="F47:O47" si="12">F48*$J$6</f>
        <v>0</v>
      </c>
      <c r="G47" s="286">
        <f t="shared" si="12"/>
        <v>0</v>
      </c>
      <c r="H47" s="286">
        <f t="shared" si="12"/>
        <v>0</v>
      </c>
      <c r="I47" s="286">
        <f t="shared" si="12"/>
        <v>0</v>
      </c>
      <c r="J47" s="286">
        <f t="shared" si="12"/>
        <v>0</v>
      </c>
      <c r="K47" s="286">
        <f t="shared" si="12"/>
        <v>0</v>
      </c>
      <c r="L47" s="286">
        <f t="shared" si="12"/>
        <v>0</v>
      </c>
      <c r="M47" s="286">
        <f t="shared" si="12"/>
        <v>0</v>
      </c>
      <c r="N47" s="286">
        <f t="shared" si="12"/>
        <v>0</v>
      </c>
      <c r="O47" s="286">
        <f t="shared" si="12"/>
        <v>0</v>
      </c>
      <c r="P47" s="286">
        <f>P48*$J$6</f>
        <v>0</v>
      </c>
      <c r="Q47" s="284">
        <f>SUM(E47:P47)</f>
        <v>0</v>
      </c>
    </row>
    <row r="48" spans="3:17" ht="14.25" customHeight="1" x14ac:dyDescent="0.2">
      <c r="C48" s="483" t="s">
        <v>138</v>
      </c>
      <c r="D48" s="484"/>
      <c r="E48" s="287">
        <f>E45*E46</f>
        <v>0</v>
      </c>
      <c r="F48" s="287">
        <f t="shared" ref="F48:P48" si="13">F45*F46</f>
        <v>0</v>
      </c>
      <c r="G48" s="287">
        <f t="shared" si="13"/>
        <v>0</v>
      </c>
      <c r="H48" s="287">
        <f t="shared" si="13"/>
        <v>0</v>
      </c>
      <c r="I48" s="287">
        <f t="shared" si="13"/>
        <v>0</v>
      </c>
      <c r="J48" s="287">
        <f t="shared" si="13"/>
        <v>0</v>
      </c>
      <c r="K48" s="287">
        <f t="shared" si="13"/>
        <v>0</v>
      </c>
      <c r="L48" s="287">
        <f t="shared" si="13"/>
        <v>0</v>
      </c>
      <c r="M48" s="287">
        <f t="shared" si="13"/>
        <v>0</v>
      </c>
      <c r="N48" s="287">
        <f t="shared" si="13"/>
        <v>0</v>
      </c>
      <c r="O48" s="287">
        <f t="shared" si="13"/>
        <v>0</v>
      </c>
      <c r="P48" s="287">
        <f t="shared" si="13"/>
        <v>0</v>
      </c>
      <c r="Q48" s="284">
        <f>SUM(E48:P48)</f>
        <v>0</v>
      </c>
    </row>
    <row r="49" spans="3:17" ht="14.25" customHeight="1" x14ac:dyDescent="0.2">
      <c r="C49" s="288"/>
      <c r="D49" s="289"/>
      <c r="E49" s="290"/>
      <c r="F49" s="290"/>
      <c r="G49" s="290"/>
      <c r="H49" s="290"/>
      <c r="I49" s="290"/>
      <c r="J49" s="290"/>
      <c r="K49" s="290"/>
      <c r="L49" s="290"/>
      <c r="M49" s="290"/>
      <c r="N49" s="290"/>
      <c r="O49" s="290"/>
      <c r="P49" s="290"/>
      <c r="Q49" s="291"/>
    </row>
    <row r="50" spans="3:17" ht="14.25" customHeight="1" x14ac:dyDescent="0.2">
      <c r="C50" s="489" t="s">
        <v>139</v>
      </c>
      <c r="D50" s="491"/>
      <c r="E50" s="283"/>
      <c r="F50" s="283"/>
      <c r="G50" s="283"/>
      <c r="H50" s="283"/>
      <c r="I50" s="283"/>
      <c r="J50" s="283"/>
      <c r="K50" s="283"/>
      <c r="L50" s="283"/>
      <c r="M50" s="283"/>
      <c r="N50" s="283"/>
      <c r="O50" s="283"/>
      <c r="P50" s="283"/>
      <c r="Q50" s="284">
        <f>SUM(E50:P50)</f>
        <v>0</v>
      </c>
    </row>
    <row r="51" spans="3:17" ht="14.25" customHeight="1" x14ac:dyDescent="0.2">
      <c r="C51" s="489" t="s">
        <v>140</v>
      </c>
      <c r="D51" s="491"/>
      <c r="E51" s="292"/>
      <c r="F51" s="292"/>
      <c r="G51" s="292"/>
      <c r="H51" s="292"/>
      <c r="I51" s="292"/>
      <c r="J51" s="292"/>
      <c r="K51" s="292"/>
      <c r="L51" s="292"/>
      <c r="M51" s="292"/>
      <c r="N51" s="292"/>
      <c r="O51" s="292"/>
      <c r="P51" s="292"/>
      <c r="Q51" s="284"/>
    </row>
    <row r="52" spans="3:17" ht="14.25" customHeight="1" x14ac:dyDescent="0.25">
      <c r="C52" s="485" t="s">
        <v>157</v>
      </c>
      <c r="D52" s="486"/>
      <c r="E52" s="286">
        <f>E53*$J$7</f>
        <v>0</v>
      </c>
      <c r="F52" s="286">
        <f t="shared" ref="F52:P52" si="14">F53*$J$7</f>
        <v>0</v>
      </c>
      <c r="G52" s="286">
        <f t="shared" si="14"/>
        <v>0</v>
      </c>
      <c r="H52" s="286">
        <f t="shared" si="14"/>
        <v>0</v>
      </c>
      <c r="I52" s="286">
        <f t="shared" si="14"/>
        <v>0</v>
      </c>
      <c r="J52" s="286">
        <f t="shared" si="14"/>
        <v>0</v>
      </c>
      <c r="K52" s="286">
        <f t="shared" si="14"/>
        <v>0</v>
      </c>
      <c r="L52" s="286">
        <f t="shared" si="14"/>
        <v>0</v>
      </c>
      <c r="M52" s="286">
        <f t="shared" si="14"/>
        <v>0</v>
      </c>
      <c r="N52" s="286">
        <f t="shared" si="14"/>
        <v>0</v>
      </c>
      <c r="O52" s="286">
        <f t="shared" si="14"/>
        <v>0</v>
      </c>
      <c r="P52" s="286">
        <f t="shared" si="14"/>
        <v>0</v>
      </c>
      <c r="Q52" s="284">
        <f>SUM(E52:P52)</f>
        <v>0</v>
      </c>
    </row>
    <row r="53" spans="3:17" ht="14.25" customHeight="1" x14ac:dyDescent="0.2">
      <c r="C53" s="483" t="s">
        <v>141</v>
      </c>
      <c r="D53" s="484"/>
      <c r="E53" s="287">
        <f t="shared" ref="E53:P53" si="15">E50*E51</f>
        <v>0</v>
      </c>
      <c r="F53" s="287">
        <f t="shared" si="15"/>
        <v>0</v>
      </c>
      <c r="G53" s="287">
        <f t="shared" si="15"/>
        <v>0</v>
      </c>
      <c r="H53" s="287">
        <f t="shared" si="15"/>
        <v>0</v>
      </c>
      <c r="I53" s="287">
        <f t="shared" si="15"/>
        <v>0</v>
      </c>
      <c r="J53" s="287">
        <f t="shared" si="15"/>
        <v>0</v>
      </c>
      <c r="K53" s="287">
        <f t="shared" si="15"/>
        <v>0</v>
      </c>
      <c r="L53" s="287">
        <f t="shared" si="15"/>
        <v>0</v>
      </c>
      <c r="M53" s="287">
        <f t="shared" si="15"/>
        <v>0</v>
      </c>
      <c r="N53" s="287">
        <f t="shared" si="15"/>
        <v>0</v>
      </c>
      <c r="O53" s="287">
        <f t="shared" si="15"/>
        <v>0</v>
      </c>
      <c r="P53" s="287">
        <f t="shared" si="15"/>
        <v>0</v>
      </c>
      <c r="Q53" s="284">
        <f>SUM(E53:P53)</f>
        <v>0</v>
      </c>
    </row>
    <row r="54" spans="3:17" ht="14.25" customHeight="1" x14ac:dyDescent="0.2">
      <c r="C54" s="288"/>
      <c r="D54" s="289"/>
      <c r="E54" s="290"/>
      <c r="F54" s="290"/>
      <c r="G54" s="290"/>
      <c r="H54" s="290"/>
      <c r="I54" s="290"/>
      <c r="J54" s="290"/>
      <c r="K54" s="290"/>
      <c r="L54" s="290"/>
      <c r="M54" s="290"/>
      <c r="N54" s="290"/>
      <c r="O54" s="290"/>
      <c r="P54" s="290"/>
      <c r="Q54" s="291"/>
    </row>
    <row r="55" spans="3:17" ht="14.25" customHeight="1" x14ac:dyDescent="0.2">
      <c r="C55" s="489" t="s">
        <v>142</v>
      </c>
      <c r="D55" s="491"/>
      <c r="E55" s="283"/>
      <c r="F55" s="283"/>
      <c r="G55" s="283"/>
      <c r="H55" s="283"/>
      <c r="I55" s="283"/>
      <c r="J55" s="283"/>
      <c r="K55" s="283"/>
      <c r="L55" s="283"/>
      <c r="M55" s="283"/>
      <c r="N55" s="283"/>
      <c r="O55" s="283"/>
      <c r="P55" s="283"/>
      <c r="Q55" s="284">
        <f>SUM(E55:P55)</f>
        <v>0</v>
      </c>
    </row>
    <row r="56" spans="3:17" ht="14.25" customHeight="1" x14ac:dyDescent="0.2">
      <c r="C56" s="489" t="s">
        <v>143</v>
      </c>
      <c r="D56" s="491"/>
      <c r="E56" s="292"/>
      <c r="F56" s="292"/>
      <c r="G56" s="292"/>
      <c r="H56" s="292"/>
      <c r="I56" s="292"/>
      <c r="J56" s="292"/>
      <c r="K56" s="292"/>
      <c r="L56" s="292"/>
      <c r="M56" s="292"/>
      <c r="N56" s="292"/>
      <c r="O56" s="292"/>
      <c r="P56" s="292"/>
      <c r="Q56" s="284"/>
    </row>
    <row r="57" spans="3:17" ht="14.25" customHeight="1" x14ac:dyDescent="0.25">
      <c r="C57" s="485" t="s">
        <v>157</v>
      </c>
      <c r="D57" s="486"/>
      <c r="E57" s="286">
        <f>E58*$J$8</f>
        <v>0</v>
      </c>
      <c r="F57" s="286">
        <f t="shared" ref="F57:P57" si="16">F58*$J$8</f>
        <v>0</v>
      </c>
      <c r="G57" s="286">
        <f t="shared" si="16"/>
        <v>0</v>
      </c>
      <c r="H57" s="286">
        <f t="shared" si="16"/>
        <v>0</v>
      </c>
      <c r="I57" s="286">
        <f t="shared" si="16"/>
        <v>0</v>
      </c>
      <c r="J57" s="286">
        <f t="shared" si="16"/>
        <v>0</v>
      </c>
      <c r="K57" s="286">
        <f t="shared" si="16"/>
        <v>0</v>
      </c>
      <c r="L57" s="286">
        <f t="shared" si="16"/>
        <v>0</v>
      </c>
      <c r="M57" s="286">
        <f t="shared" si="16"/>
        <v>0</v>
      </c>
      <c r="N57" s="286">
        <f t="shared" si="16"/>
        <v>0</v>
      </c>
      <c r="O57" s="286">
        <f t="shared" si="16"/>
        <v>0</v>
      </c>
      <c r="P57" s="286">
        <f t="shared" si="16"/>
        <v>0</v>
      </c>
      <c r="Q57" s="284">
        <f>SUM(E57:P57)</f>
        <v>0</v>
      </c>
    </row>
    <row r="58" spans="3:17" ht="14.25" customHeight="1" x14ac:dyDescent="0.2">
      <c r="C58" s="483" t="s">
        <v>144</v>
      </c>
      <c r="D58" s="484"/>
      <c r="E58" s="287">
        <f t="shared" ref="E58:P58" si="17">E55*E56</f>
        <v>0</v>
      </c>
      <c r="F58" s="287">
        <f t="shared" si="17"/>
        <v>0</v>
      </c>
      <c r="G58" s="287">
        <f t="shared" si="17"/>
        <v>0</v>
      </c>
      <c r="H58" s="287">
        <f t="shared" si="17"/>
        <v>0</v>
      </c>
      <c r="I58" s="287">
        <f t="shared" si="17"/>
        <v>0</v>
      </c>
      <c r="J58" s="287">
        <f t="shared" si="17"/>
        <v>0</v>
      </c>
      <c r="K58" s="287">
        <f t="shared" si="17"/>
        <v>0</v>
      </c>
      <c r="L58" s="287">
        <f t="shared" si="17"/>
        <v>0</v>
      </c>
      <c r="M58" s="287">
        <f t="shared" si="17"/>
        <v>0</v>
      </c>
      <c r="N58" s="287">
        <f t="shared" si="17"/>
        <v>0</v>
      </c>
      <c r="O58" s="287">
        <f t="shared" si="17"/>
        <v>0</v>
      </c>
      <c r="P58" s="287">
        <f t="shared" si="17"/>
        <v>0</v>
      </c>
      <c r="Q58" s="284">
        <f>SUM(E58:P58)</f>
        <v>0</v>
      </c>
    </row>
    <row r="59" spans="3:17" ht="14.25" customHeight="1" x14ac:dyDescent="0.2">
      <c r="C59" s="288"/>
      <c r="D59" s="289"/>
      <c r="E59" s="290"/>
      <c r="F59" s="290"/>
      <c r="G59" s="290"/>
      <c r="H59" s="290"/>
      <c r="I59" s="290"/>
      <c r="J59" s="290"/>
      <c r="K59" s="290"/>
      <c r="L59" s="290"/>
      <c r="M59" s="290"/>
      <c r="N59" s="290"/>
      <c r="O59" s="290"/>
      <c r="P59" s="290"/>
      <c r="Q59" s="291"/>
    </row>
    <row r="60" spans="3:17" ht="14.25" customHeight="1" x14ac:dyDescent="0.2">
      <c r="C60" s="483" t="s">
        <v>159</v>
      </c>
      <c r="D60" s="484"/>
      <c r="E60" s="293">
        <f>+E48+E53+E58</f>
        <v>0</v>
      </c>
      <c r="F60" s="293">
        <f t="shared" ref="F60:P60" si="18">+F48+F53+F58</f>
        <v>0</v>
      </c>
      <c r="G60" s="293">
        <f t="shared" si="18"/>
        <v>0</v>
      </c>
      <c r="H60" s="293">
        <f t="shared" si="18"/>
        <v>0</v>
      </c>
      <c r="I60" s="293">
        <f t="shared" si="18"/>
        <v>0</v>
      </c>
      <c r="J60" s="293">
        <f t="shared" si="18"/>
        <v>0</v>
      </c>
      <c r="K60" s="293">
        <f t="shared" si="18"/>
        <v>0</v>
      </c>
      <c r="L60" s="293">
        <f t="shared" si="18"/>
        <v>0</v>
      </c>
      <c r="M60" s="293">
        <f t="shared" si="18"/>
        <v>0</v>
      </c>
      <c r="N60" s="293">
        <f t="shared" si="18"/>
        <v>0</v>
      </c>
      <c r="O60" s="293">
        <f t="shared" si="18"/>
        <v>0</v>
      </c>
      <c r="P60" s="293">
        <f t="shared" si="18"/>
        <v>0</v>
      </c>
      <c r="Q60" s="294">
        <f>SUM(E60:P60)</f>
        <v>0</v>
      </c>
    </row>
    <row r="61" spans="3:17" ht="14.25" customHeight="1" x14ac:dyDescent="0.2">
      <c r="C61" s="483" t="s">
        <v>160</v>
      </c>
      <c r="D61" s="484"/>
      <c r="E61" s="293">
        <f>+E47+E52+E57</f>
        <v>0</v>
      </c>
      <c r="F61" s="293">
        <f t="shared" ref="F61:P61" si="19">+F47+F52+F57</f>
        <v>0</v>
      </c>
      <c r="G61" s="293">
        <f t="shared" si="19"/>
        <v>0</v>
      </c>
      <c r="H61" s="293">
        <f t="shared" si="19"/>
        <v>0</v>
      </c>
      <c r="I61" s="293">
        <f t="shared" si="19"/>
        <v>0</v>
      </c>
      <c r="J61" s="293">
        <f t="shared" si="19"/>
        <v>0</v>
      </c>
      <c r="K61" s="293">
        <f t="shared" si="19"/>
        <v>0</v>
      </c>
      <c r="L61" s="293">
        <f t="shared" si="19"/>
        <v>0</v>
      </c>
      <c r="M61" s="293">
        <f t="shared" si="19"/>
        <v>0</v>
      </c>
      <c r="N61" s="293">
        <f t="shared" si="19"/>
        <v>0</v>
      </c>
      <c r="O61" s="293">
        <f t="shared" si="19"/>
        <v>0</v>
      </c>
      <c r="P61" s="293">
        <f t="shared" si="19"/>
        <v>0</v>
      </c>
      <c r="Q61" s="294">
        <f>SUM(E61:P61)</f>
        <v>0</v>
      </c>
    </row>
    <row r="62" spans="3:17" ht="14.25" customHeight="1" x14ac:dyDescent="0.2">
      <c r="C62" s="288"/>
      <c r="D62" s="295"/>
      <c r="E62" s="296"/>
      <c r="F62" s="296"/>
      <c r="G62" s="296"/>
      <c r="H62" s="296"/>
      <c r="I62" s="296"/>
      <c r="J62" s="296"/>
      <c r="K62" s="296"/>
      <c r="L62" s="296"/>
      <c r="M62" s="296"/>
      <c r="N62" s="296"/>
      <c r="O62" s="296"/>
      <c r="P62" s="296"/>
      <c r="Q62" s="297"/>
    </row>
    <row r="63" spans="3:17" ht="14.25" customHeight="1" x14ac:dyDescent="0.2">
      <c r="C63" s="483" t="s">
        <v>31</v>
      </c>
      <c r="D63" s="484"/>
      <c r="E63" s="240" t="s">
        <v>181</v>
      </c>
      <c r="F63" s="240" t="s">
        <v>182</v>
      </c>
      <c r="G63" s="240" t="s">
        <v>183</v>
      </c>
      <c r="H63" s="240" t="s">
        <v>184</v>
      </c>
      <c r="I63" s="240" t="s">
        <v>185</v>
      </c>
      <c r="J63" s="240" t="s">
        <v>186</v>
      </c>
      <c r="K63" s="240" t="s">
        <v>187</v>
      </c>
      <c r="L63" s="240" t="s">
        <v>188</v>
      </c>
      <c r="M63" s="240" t="s">
        <v>189</v>
      </c>
      <c r="N63" s="240" t="s">
        <v>190</v>
      </c>
      <c r="O63" s="240" t="s">
        <v>191</v>
      </c>
      <c r="P63" s="240" t="s">
        <v>192</v>
      </c>
      <c r="Q63" s="304" t="s">
        <v>2</v>
      </c>
    </row>
    <row r="64" spans="3:17" ht="14.25" customHeight="1" x14ac:dyDescent="0.2">
      <c r="C64" s="489" t="s">
        <v>161</v>
      </c>
      <c r="D64" s="490"/>
      <c r="E64" s="287">
        <f>(E60*$E$6)+(P30*$E$7)+(O30*$E$8)+(N30*$E$9)</f>
        <v>0</v>
      </c>
      <c r="F64" s="287">
        <f>(F60*$E$6)+(E60*$E$7)+(P30*$E$8)+(O30*$E$9)</f>
        <v>0</v>
      </c>
      <c r="G64" s="287">
        <f>(G60*$E$6)+(F60*$E$7)+(E60*$E$8)+(P30*$E$9)</f>
        <v>0</v>
      </c>
      <c r="H64" s="287">
        <f>(H60*$E$6)+(G60*$E$7)+(F60*$E$8)+(E60*$E$9)</f>
        <v>0</v>
      </c>
      <c r="I64" s="287">
        <f t="shared" ref="H64:P65" si="20">(I60*$E$6)+(H60*$E$7)+(G60*$E$8)+(F60*$E$9)</f>
        <v>0</v>
      </c>
      <c r="J64" s="287">
        <f t="shared" si="20"/>
        <v>0</v>
      </c>
      <c r="K64" s="287">
        <f t="shared" si="20"/>
        <v>0</v>
      </c>
      <c r="L64" s="287">
        <f t="shared" si="20"/>
        <v>0</v>
      </c>
      <c r="M64" s="287">
        <f t="shared" si="20"/>
        <v>0</v>
      </c>
      <c r="N64" s="287">
        <f t="shared" si="20"/>
        <v>0</v>
      </c>
      <c r="O64" s="287">
        <f t="shared" si="20"/>
        <v>0</v>
      </c>
      <c r="P64" s="287">
        <f t="shared" si="20"/>
        <v>0</v>
      </c>
      <c r="Q64" s="284">
        <f>SUM(E64:P64)</f>
        <v>0</v>
      </c>
    </row>
    <row r="65" spans="3:17" ht="14.25" customHeight="1" x14ac:dyDescent="0.2">
      <c r="C65" s="489" t="s">
        <v>162</v>
      </c>
      <c r="D65" s="490"/>
      <c r="E65" s="287">
        <f>(E61*$E$6)+(P31*$E$7)+(O31*$E$8)+(N31*$E$9)</f>
        <v>0</v>
      </c>
      <c r="F65" s="287">
        <f>(F61*$E$6)+(E61*$E$7)+(P31*$E$8)+(O31*$E$9)</f>
        <v>0</v>
      </c>
      <c r="G65" s="287">
        <f>(G61*$E$6)+(F61*$E$7)+(E61*$E$8)+(P31*$E$9)</f>
        <v>0</v>
      </c>
      <c r="H65" s="287">
        <f t="shared" si="20"/>
        <v>0</v>
      </c>
      <c r="I65" s="287">
        <f t="shared" si="20"/>
        <v>0</v>
      </c>
      <c r="J65" s="287">
        <f t="shared" si="20"/>
        <v>0</v>
      </c>
      <c r="K65" s="287">
        <f t="shared" si="20"/>
        <v>0</v>
      </c>
      <c r="L65" s="287">
        <f t="shared" si="20"/>
        <v>0</v>
      </c>
      <c r="M65" s="287">
        <f t="shared" si="20"/>
        <v>0</v>
      </c>
      <c r="N65" s="287">
        <f t="shared" si="20"/>
        <v>0</v>
      </c>
      <c r="O65" s="287">
        <f t="shared" si="20"/>
        <v>0</v>
      </c>
      <c r="P65" s="287">
        <f t="shared" si="20"/>
        <v>0</v>
      </c>
      <c r="Q65" s="284">
        <f>SUM(E65:P65)</f>
        <v>0</v>
      </c>
    </row>
    <row r="66" spans="3:17" ht="14.25" customHeight="1" x14ac:dyDescent="0.2">
      <c r="C66" s="489" t="s">
        <v>147</v>
      </c>
      <c r="D66" s="490"/>
      <c r="E66" s="298">
        <f t="shared" ref="E66:P66" si="21">E60*$E$10</f>
        <v>0</v>
      </c>
      <c r="F66" s="298">
        <f t="shared" si="21"/>
        <v>0</v>
      </c>
      <c r="G66" s="298">
        <f t="shared" si="21"/>
        <v>0</v>
      </c>
      <c r="H66" s="298">
        <f t="shared" si="21"/>
        <v>0</v>
      </c>
      <c r="I66" s="298">
        <f t="shared" si="21"/>
        <v>0</v>
      </c>
      <c r="J66" s="298">
        <f t="shared" si="21"/>
        <v>0</v>
      </c>
      <c r="K66" s="298">
        <f t="shared" si="21"/>
        <v>0</v>
      </c>
      <c r="L66" s="298">
        <f t="shared" si="21"/>
        <v>0</v>
      </c>
      <c r="M66" s="298">
        <f t="shared" si="21"/>
        <v>0</v>
      </c>
      <c r="N66" s="298">
        <f t="shared" si="21"/>
        <v>0</v>
      </c>
      <c r="O66" s="298">
        <f t="shared" si="21"/>
        <v>0</v>
      </c>
      <c r="P66" s="298">
        <f t="shared" si="21"/>
        <v>0</v>
      </c>
      <c r="Q66" s="299">
        <f>SUM(E66:P66)</f>
        <v>0</v>
      </c>
    </row>
    <row r="67" spans="3:17" ht="14.25" customHeight="1" x14ac:dyDescent="0.2">
      <c r="C67" s="483" t="s">
        <v>2</v>
      </c>
      <c r="D67" s="493"/>
      <c r="E67" s="300">
        <f t="shared" ref="E67:P67" si="22">SUM(E64:E65)</f>
        <v>0</v>
      </c>
      <c r="F67" s="300">
        <f t="shared" si="22"/>
        <v>0</v>
      </c>
      <c r="G67" s="300">
        <f t="shared" si="22"/>
        <v>0</v>
      </c>
      <c r="H67" s="300">
        <f t="shared" si="22"/>
        <v>0</v>
      </c>
      <c r="I67" s="300">
        <f t="shared" si="22"/>
        <v>0</v>
      </c>
      <c r="J67" s="300">
        <f t="shared" si="22"/>
        <v>0</v>
      </c>
      <c r="K67" s="300">
        <f t="shared" si="22"/>
        <v>0</v>
      </c>
      <c r="L67" s="300">
        <f t="shared" si="22"/>
        <v>0</v>
      </c>
      <c r="M67" s="300">
        <f t="shared" si="22"/>
        <v>0</v>
      </c>
      <c r="N67" s="300">
        <f t="shared" si="22"/>
        <v>0</v>
      </c>
      <c r="O67" s="300">
        <f t="shared" si="22"/>
        <v>0</v>
      </c>
      <c r="P67" s="300">
        <f t="shared" si="22"/>
        <v>0</v>
      </c>
      <c r="Q67" s="294">
        <f>SUM(E67:P67)</f>
        <v>0</v>
      </c>
    </row>
    <row r="68" spans="3:17" ht="14.25" customHeight="1" x14ac:dyDescent="0.2">
      <c r="C68" s="288"/>
      <c r="D68" s="295"/>
      <c r="E68" s="296"/>
      <c r="F68" s="296"/>
      <c r="G68" s="296"/>
      <c r="H68" s="296"/>
      <c r="I68" s="296"/>
      <c r="J68" s="296"/>
      <c r="K68" s="296"/>
      <c r="L68" s="296"/>
      <c r="M68" s="296"/>
      <c r="N68" s="296"/>
      <c r="O68" s="296"/>
      <c r="P68" s="296"/>
      <c r="Q68" s="297"/>
    </row>
    <row r="69" spans="3:17" ht="14.25" customHeight="1" x14ac:dyDescent="0.2">
      <c r="C69" s="483" t="s">
        <v>13</v>
      </c>
      <c r="D69" s="484"/>
      <c r="E69" s="240" t="s">
        <v>181</v>
      </c>
      <c r="F69" s="240" t="s">
        <v>182</v>
      </c>
      <c r="G69" s="240" t="s">
        <v>183</v>
      </c>
      <c r="H69" s="240" t="s">
        <v>184</v>
      </c>
      <c r="I69" s="240" t="s">
        <v>185</v>
      </c>
      <c r="J69" s="240" t="s">
        <v>186</v>
      </c>
      <c r="K69" s="240" t="s">
        <v>187</v>
      </c>
      <c r="L69" s="240" t="s">
        <v>188</v>
      </c>
      <c r="M69" s="240" t="s">
        <v>189</v>
      </c>
      <c r="N69" s="240" t="s">
        <v>190</v>
      </c>
      <c r="O69" s="240" t="s">
        <v>191</v>
      </c>
      <c r="P69" s="240" t="s">
        <v>192</v>
      </c>
      <c r="Q69" s="304" t="s">
        <v>333</v>
      </c>
    </row>
    <row r="70" spans="3:17" ht="14.25" customHeight="1" x14ac:dyDescent="0.2">
      <c r="C70" s="489" t="s">
        <v>215</v>
      </c>
      <c r="D70" s="490"/>
      <c r="E70" s="287">
        <f>P40+E60+E61-E67</f>
        <v>0</v>
      </c>
      <c r="F70" s="287">
        <f>E70+F60+F61-F67</f>
        <v>0</v>
      </c>
      <c r="G70" s="287">
        <f t="shared" ref="G70:P70" si="23">F70+G60+G61-G67</f>
        <v>0</v>
      </c>
      <c r="H70" s="287">
        <f t="shared" si="23"/>
        <v>0</v>
      </c>
      <c r="I70" s="287">
        <f t="shared" si="23"/>
        <v>0</v>
      </c>
      <c r="J70" s="287">
        <f t="shared" si="23"/>
        <v>0</v>
      </c>
      <c r="K70" s="287">
        <f t="shared" si="23"/>
        <v>0</v>
      </c>
      <c r="L70" s="287">
        <f t="shared" si="23"/>
        <v>0</v>
      </c>
      <c r="M70" s="287">
        <f t="shared" si="23"/>
        <v>0</v>
      </c>
      <c r="N70" s="287">
        <f t="shared" si="23"/>
        <v>0</v>
      </c>
      <c r="O70" s="287">
        <f t="shared" si="23"/>
        <v>0</v>
      </c>
      <c r="P70" s="287">
        <f t="shared" si="23"/>
        <v>0</v>
      </c>
      <c r="Q70" s="284">
        <f>Q60+Q61-Q67</f>
        <v>0</v>
      </c>
    </row>
    <row r="71" spans="3:17" ht="14.25" customHeight="1" x14ac:dyDescent="0.2">
      <c r="Q71" s="4"/>
    </row>
    <row r="72" spans="3:17" ht="14.25" customHeight="1" x14ac:dyDescent="0.2"/>
    <row r="73" spans="3:17" ht="21" x14ac:dyDescent="0.2">
      <c r="C73" s="169">
        <f>C43+1</f>
        <v>2025</v>
      </c>
    </row>
    <row r="74" spans="3:17" ht="14.25" customHeight="1" x14ac:dyDescent="0.2">
      <c r="C74" s="487" t="s">
        <v>1</v>
      </c>
      <c r="D74" s="488"/>
      <c r="E74" s="237" t="s">
        <v>181</v>
      </c>
      <c r="F74" s="237" t="s">
        <v>182</v>
      </c>
      <c r="G74" s="237" t="s">
        <v>183</v>
      </c>
      <c r="H74" s="237" t="s">
        <v>184</v>
      </c>
      <c r="I74" s="237" t="s">
        <v>185</v>
      </c>
      <c r="J74" s="237" t="s">
        <v>186</v>
      </c>
      <c r="K74" s="237" t="s">
        <v>187</v>
      </c>
      <c r="L74" s="237" t="s">
        <v>188</v>
      </c>
      <c r="M74" s="237" t="s">
        <v>189</v>
      </c>
      <c r="N74" s="237" t="s">
        <v>190</v>
      </c>
      <c r="O74" s="237" t="s">
        <v>191</v>
      </c>
      <c r="P74" s="237" t="s">
        <v>192</v>
      </c>
      <c r="Q74" s="303" t="s">
        <v>2</v>
      </c>
    </row>
    <row r="75" spans="3:17" ht="14.25" customHeight="1" x14ac:dyDescent="0.2">
      <c r="C75" s="489" t="s">
        <v>145</v>
      </c>
      <c r="D75" s="491"/>
      <c r="E75" s="283"/>
      <c r="F75" s="283"/>
      <c r="G75" s="283"/>
      <c r="H75" s="283"/>
      <c r="I75" s="283"/>
      <c r="J75" s="283"/>
      <c r="K75" s="283"/>
      <c r="L75" s="283"/>
      <c r="M75" s="283"/>
      <c r="N75" s="283"/>
      <c r="O75" s="283"/>
      <c r="P75" s="283"/>
      <c r="Q75" s="284">
        <f>SUM(E75:P75)</f>
        <v>0</v>
      </c>
    </row>
    <row r="76" spans="3:17" ht="14.25" customHeight="1" x14ac:dyDescent="0.2">
      <c r="C76" s="489" t="s">
        <v>146</v>
      </c>
      <c r="D76" s="491"/>
      <c r="E76" s="285"/>
      <c r="F76" s="292"/>
      <c r="G76" s="292"/>
      <c r="H76" s="292"/>
      <c r="I76" s="292"/>
      <c r="J76" s="292"/>
      <c r="K76" s="292"/>
      <c r="L76" s="292"/>
      <c r="M76" s="292"/>
      <c r="N76" s="292"/>
      <c r="O76" s="292"/>
      <c r="P76" s="292"/>
      <c r="Q76" s="284"/>
    </row>
    <row r="77" spans="3:17" ht="14.25" customHeight="1" x14ac:dyDescent="0.25">
      <c r="C77" s="485" t="s">
        <v>157</v>
      </c>
      <c r="D77" s="486"/>
      <c r="E77" s="286">
        <f>E78*$J$6</f>
        <v>0</v>
      </c>
      <c r="F77" s="286">
        <f t="shared" ref="F77:O77" si="24">F78*$J$6</f>
        <v>0</v>
      </c>
      <c r="G77" s="286">
        <f t="shared" si="24"/>
        <v>0</v>
      </c>
      <c r="H77" s="286">
        <f t="shared" si="24"/>
        <v>0</v>
      </c>
      <c r="I77" s="286">
        <f t="shared" si="24"/>
        <v>0</v>
      </c>
      <c r="J77" s="286">
        <f t="shared" si="24"/>
        <v>0</v>
      </c>
      <c r="K77" s="286">
        <f t="shared" si="24"/>
        <v>0</v>
      </c>
      <c r="L77" s="286">
        <f t="shared" si="24"/>
        <v>0</v>
      </c>
      <c r="M77" s="286">
        <f t="shared" si="24"/>
        <v>0</v>
      </c>
      <c r="N77" s="286">
        <f t="shared" si="24"/>
        <v>0</v>
      </c>
      <c r="O77" s="286">
        <f t="shared" si="24"/>
        <v>0</v>
      </c>
      <c r="P77" s="286">
        <f>P78*$J$6</f>
        <v>0</v>
      </c>
      <c r="Q77" s="284">
        <f>SUM(E77:P77)</f>
        <v>0</v>
      </c>
    </row>
    <row r="78" spans="3:17" ht="14.25" customHeight="1" x14ac:dyDescent="0.2">
      <c r="C78" s="483" t="s">
        <v>138</v>
      </c>
      <c r="D78" s="484"/>
      <c r="E78" s="287">
        <f>E75*E76</f>
        <v>0</v>
      </c>
      <c r="F78" s="287">
        <f t="shared" ref="F78:P78" si="25">F75*F76</f>
        <v>0</v>
      </c>
      <c r="G78" s="287">
        <f t="shared" si="25"/>
        <v>0</v>
      </c>
      <c r="H78" s="287">
        <f t="shared" si="25"/>
        <v>0</v>
      </c>
      <c r="I78" s="287">
        <f t="shared" si="25"/>
        <v>0</v>
      </c>
      <c r="J78" s="287">
        <f t="shared" si="25"/>
        <v>0</v>
      </c>
      <c r="K78" s="287">
        <f t="shared" si="25"/>
        <v>0</v>
      </c>
      <c r="L78" s="287">
        <f t="shared" si="25"/>
        <v>0</v>
      </c>
      <c r="M78" s="287">
        <f t="shared" si="25"/>
        <v>0</v>
      </c>
      <c r="N78" s="287">
        <f t="shared" si="25"/>
        <v>0</v>
      </c>
      <c r="O78" s="287">
        <f t="shared" si="25"/>
        <v>0</v>
      </c>
      <c r="P78" s="287">
        <f t="shared" si="25"/>
        <v>0</v>
      </c>
      <c r="Q78" s="284">
        <f>SUM(E78:P78)</f>
        <v>0</v>
      </c>
    </row>
    <row r="79" spans="3:17" ht="14.25" customHeight="1" x14ac:dyDescent="0.2">
      <c r="C79" s="288"/>
      <c r="D79" s="289"/>
      <c r="E79" s="290"/>
      <c r="F79" s="290"/>
      <c r="G79" s="290"/>
      <c r="H79" s="290"/>
      <c r="I79" s="290"/>
      <c r="J79" s="290"/>
      <c r="K79" s="290"/>
      <c r="L79" s="290"/>
      <c r="M79" s="290"/>
      <c r="N79" s="290"/>
      <c r="O79" s="290"/>
      <c r="P79" s="290"/>
      <c r="Q79" s="291"/>
    </row>
    <row r="80" spans="3:17" ht="14.25" customHeight="1" x14ac:dyDescent="0.2">
      <c r="C80" s="489" t="s">
        <v>139</v>
      </c>
      <c r="D80" s="491"/>
      <c r="E80" s="283"/>
      <c r="F80" s="283"/>
      <c r="G80" s="283"/>
      <c r="H80" s="283"/>
      <c r="I80" s="283"/>
      <c r="J80" s="283"/>
      <c r="K80" s="283"/>
      <c r="L80" s="283"/>
      <c r="M80" s="283"/>
      <c r="N80" s="283"/>
      <c r="O80" s="283"/>
      <c r="P80" s="283"/>
      <c r="Q80" s="284">
        <f>SUM(E80:P80)</f>
        <v>0</v>
      </c>
    </row>
    <row r="81" spans="3:17" ht="14.25" customHeight="1" x14ac:dyDescent="0.2">
      <c r="C81" s="489" t="s">
        <v>140</v>
      </c>
      <c r="D81" s="491"/>
      <c r="E81" s="292"/>
      <c r="F81" s="292"/>
      <c r="G81" s="292"/>
      <c r="H81" s="292"/>
      <c r="I81" s="292"/>
      <c r="J81" s="292"/>
      <c r="K81" s="292"/>
      <c r="L81" s="292"/>
      <c r="M81" s="292"/>
      <c r="N81" s="292"/>
      <c r="O81" s="292"/>
      <c r="P81" s="292"/>
      <c r="Q81" s="284"/>
    </row>
    <row r="82" spans="3:17" ht="14.25" customHeight="1" x14ac:dyDescent="0.25">
      <c r="C82" s="485" t="s">
        <v>157</v>
      </c>
      <c r="D82" s="486"/>
      <c r="E82" s="286">
        <f>E83*$J$7</f>
        <v>0</v>
      </c>
      <c r="F82" s="286">
        <f t="shared" ref="F82:P82" si="26">F83*$J$7</f>
        <v>0</v>
      </c>
      <c r="G82" s="286">
        <f t="shared" si="26"/>
        <v>0</v>
      </c>
      <c r="H82" s="286">
        <f t="shared" si="26"/>
        <v>0</v>
      </c>
      <c r="I82" s="286">
        <f t="shared" si="26"/>
        <v>0</v>
      </c>
      <c r="J82" s="286">
        <f t="shared" si="26"/>
        <v>0</v>
      </c>
      <c r="K82" s="286">
        <f t="shared" si="26"/>
        <v>0</v>
      </c>
      <c r="L82" s="286">
        <f t="shared" si="26"/>
        <v>0</v>
      </c>
      <c r="M82" s="286">
        <f t="shared" si="26"/>
        <v>0</v>
      </c>
      <c r="N82" s="286">
        <f t="shared" si="26"/>
        <v>0</v>
      </c>
      <c r="O82" s="286">
        <f t="shared" si="26"/>
        <v>0</v>
      </c>
      <c r="P82" s="286">
        <f t="shared" si="26"/>
        <v>0</v>
      </c>
      <c r="Q82" s="284">
        <f>SUM(E82:P82)</f>
        <v>0</v>
      </c>
    </row>
    <row r="83" spans="3:17" ht="14.25" customHeight="1" x14ac:dyDescent="0.2">
      <c r="C83" s="483" t="s">
        <v>141</v>
      </c>
      <c r="D83" s="484"/>
      <c r="E83" s="287">
        <f t="shared" ref="E83:P83" si="27">E80*E81</f>
        <v>0</v>
      </c>
      <c r="F83" s="287">
        <f t="shared" si="27"/>
        <v>0</v>
      </c>
      <c r="G83" s="287">
        <f t="shared" si="27"/>
        <v>0</v>
      </c>
      <c r="H83" s="287">
        <f t="shared" si="27"/>
        <v>0</v>
      </c>
      <c r="I83" s="287">
        <f t="shared" si="27"/>
        <v>0</v>
      </c>
      <c r="J83" s="287">
        <f t="shared" si="27"/>
        <v>0</v>
      </c>
      <c r="K83" s="287">
        <f t="shared" si="27"/>
        <v>0</v>
      </c>
      <c r="L83" s="287">
        <f t="shared" si="27"/>
        <v>0</v>
      </c>
      <c r="M83" s="287">
        <f t="shared" si="27"/>
        <v>0</v>
      </c>
      <c r="N83" s="287">
        <f t="shared" si="27"/>
        <v>0</v>
      </c>
      <c r="O83" s="287">
        <f t="shared" si="27"/>
        <v>0</v>
      </c>
      <c r="P83" s="287">
        <f t="shared" si="27"/>
        <v>0</v>
      </c>
      <c r="Q83" s="284">
        <f>SUM(E83:P83)</f>
        <v>0</v>
      </c>
    </row>
    <row r="84" spans="3:17" ht="14.25" customHeight="1" x14ac:dyDescent="0.2">
      <c r="C84" s="288"/>
      <c r="D84" s="289"/>
      <c r="E84" s="290"/>
      <c r="F84" s="290"/>
      <c r="G84" s="290"/>
      <c r="H84" s="290"/>
      <c r="I84" s="290"/>
      <c r="J84" s="290"/>
      <c r="K84" s="290"/>
      <c r="L84" s="290"/>
      <c r="M84" s="290"/>
      <c r="N84" s="290"/>
      <c r="O84" s="290"/>
      <c r="P84" s="290"/>
      <c r="Q84" s="291"/>
    </row>
    <row r="85" spans="3:17" ht="14.25" customHeight="1" x14ac:dyDescent="0.2">
      <c r="C85" s="489" t="s">
        <v>142</v>
      </c>
      <c r="D85" s="491"/>
      <c r="E85" s="283"/>
      <c r="F85" s="283"/>
      <c r="G85" s="283"/>
      <c r="H85" s="283"/>
      <c r="I85" s="283"/>
      <c r="J85" s="283"/>
      <c r="K85" s="283"/>
      <c r="L85" s="283"/>
      <c r="M85" s="283"/>
      <c r="N85" s="283"/>
      <c r="O85" s="283"/>
      <c r="P85" s="283"/>
      <c r="Q85" s="284">
        <f>SUM(E85:P85)</f>
        <v>0</v>
      </c>
    </row>
    <row r="86" spans="3:17" ht="14.25" customHeight="1" x14ac:dyDescent="0.2">
      <c r="C86" s="489" t="s">
        <v>143</v>
      </c>
      <c r="D86" s="491"/>
      <c r="E86" s="292"/>
      <c r="F86" s="292"/>
      <c r="G86" s="292"/>
      <c r="H86" s="292"/>
      <c r="I86" s="292"/>
      <c r="J86" s="292"/>
      <c r="K86" s="292"/>
      <c r="L86" s="292"/>
      <c r="M86" s="292"/>
      <c r="N86" s="292"/>
      <c r="O86" s="292"/>
      <c r="P86" s="292"/>
      <c r="Q86" s="284"/>
    </row>
    <row r="87" spans="3:17" ht="14.25" customHeight="1" x14ac:dyDescent="0.25">
      <c r="C87" s="485" t="s">
        <v>157</v>
      </c>
      <c r="D87" s="486"/>
      <c r="E87" s="286">
        <f>E88*$J$8</f>
        <v>0</v>
      </c>
      <c r="F87" s="286">
        <f t="shared" ref="F87:P87" si="28">F88*$J$8</f>
        <v>0</v>
      </c>
      <c r="G87" s="286">
        <f t="shared" si="28"/>
        <v>0</v>
      </c>
      <c r="H87" s="286">
        <f t="shared" si="28"/>
        <v>0</v>
      </c>
      <c r="I87" s="286">
        <f t="shared" si="28"/>
        <v>0</v>
      </c>
      <c r="J87" s="286">
        <f t="shared" si="28"/>
        <v>0</v>
      </c>
      <c r="K87" s="286">
        <f t="shared" si="28"/>
        <v>0</v>
      </c>
      <c r="L87" s="286">
        <f t="shared" si="28"/>
        <v>0</v>
      </c>
      <c r="M87" s="286">
        <f t="shared" si="28"/>
        <v>0</v>
      </c>
      <c r="N87" s="286">
        <f t="shared" si="28"/>
        <v>0</v>
      </c>
      <c r="O87" s="286">
        <f t="shared" si="28"/>
        <v>0</v>
      </c>
      <c r="P87" s="286">
        <f t="shared" si="28"/>
        <v>0</v>
      </c>
      <c r="Q87" s="284">
        <f>SUM(E87:P87)</f>
        <v>0</v>
      </c>
    </row>
    <row r="88" spans="3:17" ht="14.25" customHeight="1" x14ac:dyDescent="0.2">
      <c r="C88" s="483" t="s">
        <v>144</v>
      </c>
      <c r="D88" s="484"/>
      <c r="E88" s="287">
        <f t="shared" ref="E88:P88" si="29">E85*E86</f>
        <v>0</v>
      </c>
      <c r="F88" s="287">
        <f t="shared" si="29"/>
        <v>0</v>
      </c>
      <c r="G88" s="287">
        <f t="shared" si="29"/>
        <v>0</v>
      </c>
      <c r="H88" s="287">
        <f t="shared" si="29"/>
        <v>0</v>
      </c>
      <c r="I88" s="287">
        <f t="shared" si="29"/>
        <v>0</v>
      </c>
      <c r="J88" s="287">
        <f t="shared" si="29"/>
        <v>0</v>
      </c>
      <c r="K88" s="287">
        <f t="shared" si="29"/>
        <v>0</v>
      </c>
      <c r="L88" s="287">
        <f t="shared" si="29"/>
        <v>0</v>
      </c>
      <c r="M88" s="287">
        <f t="shared" si="29"/>
        <v>0</v>
      </c>
      <c r="N88" s="287">
        <f t="shared" si="29"/>
        <v>0</v>
      </c>
      <c r="O88" s="287">
        <f t="shared" si="29"/>
        <v>0</v>
      </c>
      <c r="P88" s="287">
        <f t="shared" si="29"/>
        <v>0</v>
      </c>
      <c r="Q88" s="284">
        <f>SUM(E88:P88)</f>
        <v>0</v>
      </c>
    </row>
    <row r="89" spans="3:17" ht="14.25" customHeight="1" x14ac:dyDescent="0.2">
      <c r="C89" s="288"/>
      <c r="D89" s="289"/>
      <c r="E89" s="290"/>
      <c r="F89" s="290"/>
      <c r="G89" s="290"/>
      <c r="H89" s="290"/>
      <c r="I89" s="290"/>
      <c r="J89" s="290"/>
      <c r="K89" s="290"/>
      <c r="L89" s="290"/>
      <c r="M89" s="290"/>
      <c r="N89" s="290"/>
      <c r="O89" s="290"/>
      <c r="P89" s="290"/>
      <c r="Q89" s="291"/>
    </row>
    <row r="90" spans="3:17" ht="14.25" customHeight="1" x14ac:dyDescent="0.2">
      <c r="C90" s="483" t="s">
        <v>159</v>
      </c>
      <c r="D90" s="484"/>
      <c r="E90" s="293">
        <f>+E78+E83+E88</f>
        <v>0</v>
      </c>
      <c r="F90" s="293">
        <f t="shared" ref="F90:P90" si="30">+F78+F83+F88</f>
        <v>0</v>
      </c>
      <c r="G90" s="293">
        <f t="shared" si="30"/>
        <v>0</v>
      </c>
      <c r="H90" s="293">
        <f t="shared" si="30"/>
        <v>0</v>
      </c>
      <c r="I90" s="293">
        <f t="shared" si="30"/>
        <v>0</v>
      </c>
      <c r="J90" s="293">
        <f t="shared" si="30"/>
        <v>0</v>
      </c>
      <c r="K90" s="293">
        <f t="shared" si="30"/>
        <v>0</v>
      </c>
      <c r="L90" s="293">
        <f t="shared" si="30"/>
        <v>0</v>
      </c>
      <c r="M90" s="293">
        <f t="shared" si="30"/>
        <v>0</v>
      </c>
      <c r="N90" s="293">
        <f t="shared" si="30"/>
        <v>0</v>
      </c>
      <c r="O90" s="293">
        <f t="shared" si="30"/>
        <v>0</v>
      </c>
      <c r="P90" s="293">
        <f t="shared" si="30"/>
        <v>0</v>
      </c>
      <c r="Q90" s="294">
        <f>SUM(E90:P90)</f>
        <v>0</v>
      </c>
    </row>
    <row r="91" spans="3:17" ht="14.25" customHeight="1" x14ac:dyDescent="0.2">
      <c r="C91" s="483" t="s">
        <v>160</v>
      </c>
      <c r="D91" s="484"/>
      <c r="E91" s="293">
        <f>+E77+E82+E87</f>
        <v>0</v>
      </c>
      <c r="F91" s="293">
        <f t="shared" ref="F91:P91" si="31">+F77+F82+F87</f>
        <v>0</v>
      </c>
      <c r="G91" s="293">
        <f t="shared" si="31"/>
        <v>0</v>
      </c>
      <c r="H91" s="293">
        <f t="shared" si="31"/>
        <v>0</v>
      </c>
      <c r="I91" s="293">
        <f t="shared" si="31"/>
        <v>0</v>
      </c>
      <c r="J91" s="293">
        <f t="shared" si="31"/>
        <v>0</v>
      </c>
      <c r="K91" s="293">
        <f t="shared" si="31"/>
        <v>0</v>
      </c>
      <c r="L91" s="293">
        <f t="shared" si="31"/>
        <v>0</v>
      </c>
      <c r="M91" s="293">
        <f t="shared" si="31"/>
        <v>0</v>
      </c>
      <c r="N91" s="293">
        <f t="shared" si="31"/>
        <v>0</v>
      </c>
      <c r="O91" s="293">
        <f t="shared" si="31"/>
        <v>0</v>
      </c>
      <c r="P91" s="293">
        <f t="shared" si="31"/>
        <v>0</v>
      </c>
      <c r="Q91" s="294">
        <f>SUM(E91:P91)</f>
        <v>0</v>
      </c>
    </row>
    <row r="92" spans="3:17" ht="14.25" customHeight="1" x14ac:dyDescent="0.2">
      <c r="C92" s="288"/>
      <c r="D92" s="295"/>
      <c r="E92" s="296"/>
      <c r="F92" s="296"/>
      <c r="G92" s="296"/>
      <c r="H92" s="296"/>
      <c r="I92" s="296"/>
      <c r="J92" s="296"/>
      <c r="K92" s="296"/>
      <c r="L92" s="296"/>
      <c r="M92" s="296"/>
      <c r="N92" s="296"/>
      <c r="O92" s="296"/>
      <c r="P92" s="296"/>
      <c r="Q92" s="297"/>
    </row>
    <row r="93" spans="3:17" ht="14.25" customHeight="1" x14ac:dyDescent="0.2">
      <c r="C93" s="483" t="s">
        <v>31</v>
      </c>
      <c r="D93" s="484"/>
      <c r="E93" s="240" t="s">
        <v>181</v>
      </c>
      <c r="F93" s="240" t="s">
        <v>182</v>
      </c>
      <c r="G93" s="240" t="s">
        <v>183</v>
      </c>
      <c r="H93" s="240" t="s">
        <v>184</v>
      </c>
      <c r="I93" s="240" t="s">
        <v>185</v>
      </c>
      <c r="J93" s="240" t="s">
        <v>186</v>
      </c>
      <c r="K93" s="240" t="s">
        <v>187</v>
      </c>
      <c r="L93" s="240" t="s">
        <v>188</v>
      </c>
      <c r="M93" s="240" t="s">
        <v>189</v>
      </c>
      <c r="N93" s="240" t="s">
        <v>190</v>
      </c>
      <c r="O93" s="240" t="s">
        <v>191</v>
      </c>
      <c r="P93" s="240" t="s">
        <v>192</v>
      </c>
      <c r="Q93" s="304" t="s">
        <v>2</v>
      </c>
    </row>
    <row r="94" spans="3:17" ht="14.25" customHeight="1" x14ac:dyDescent="0.2">
      <c r="C94" s="489" t="s">
        <v>161</v>
      </c>
      <c r="D94" s="491"/>
      <c r="E94" s="287">
        <f>(E90*$E$6)+(P60*$E$7)+(O60*$E$8)+(N60*$E$9)</f>
        <v>0</v>
      </c>
      <c r="F94" s="287">
        <f>(F90*$E$6)+(E90*$E$7)+(P60*$E$8)+(O60*$E$9)</f>
        <v>0</v>
      </c>
      <c r="G94" s="287">
        <f>(G90*$E$6)+(F90*$E$7)+(E90*$E$8)+(P60*$E$9)</f>
        <v>0</v>
      </c>
      <c r="H94" s="287">
        <f t="shared" ref="H94:P95" si="32">(H90*$E$6)+(G90*$E$7)+(F90*$E$8)+(E90*$E$9)</f>
        <v>0</v>
      </c>
      <c r="I94" s="287">
        <f t="shared" si="32"/>
        <v>0</v>
      </c>
      <c r="J94" s="287">
        <f t="shared" si="32"/>
        <v>0</v>
      </c>
      <c r="K94" s="287">
        <f t="shared" si="32"/>
        <v>0</v>
      </c>
      <c r="L94" s="287">
        <f t="shared" si="32"/>
        <v>0</v>
      </c>
      <c r="M94" s="287">
        <f t="shared" si="32"/>
        <v>0</v>
      </c>
      <c r="N94" s="287">
        <f t="shared" si="32"/>
        <v>0</v>
      </c>
      <c r="O94" s="287">
        <f t="shared" si="32"/>
        <v>0</v>
      </c>
      <c r="P94" s="287">
        <f t="shared" si="32"/>
        <v>0</v>
      </c>
      <c r="Q94" s="284">
        <f>SUM(E94:P94)</f>
        <v>0</v>
      </c>
    </row>
    <row r="95" spans="3:17" ht="14.25" customHeight="1" x14ac:dyDescent="0.2">
      <c r="C95" s="489" t="s">
        <v>162</v>
      </c>
      <c r="D95" s="491"/>
      <c r="E95" s="287">
        <f>(E91*$E$6)+(P61*$E$7)+(O61*$E$8)+(N61*$E$9)</f>
        <v>0</v>
      </c>
      <c r="F95" s="287">
        <f>(F91*$E$6)+(E91*$E$7)+(P61*$E$8)+(O61*$E$9)</f>
        <v>0</v>
      </c>
      <c r="G95" s="287">
        <f>(G91*$E$6)+(F91*$E$7)+(E91*$E$8)+(P61*$E$9)</f>
        <v>0</v>
      </c>
      <c r="H95" s="287">
        <f t="shared" si="32"/>
        <v>0</v>
      </c>
      <c r="I95" s="287">
        <f t="shared" si="32"/>
        <v>0</v>
      </c>
      <c r="J95" s="287">
        <f t="shared" si="32"/>
        <v>0</v>
      </c>
      <c r="K95" s="287">
        <f t="shared" si="32"/>
        <v>0</v>
      </c>
      <c r="L95" s="287">
        <f t="shared" si="32"/>
        <v>0</v>
      </c>
      <c r="M95" s="287">
        <f t="shared" si="32"/>
        <v>0</v>
      </c>
      <c r="N95" s="287">
        <f t="shared" si="32"/>
        <v>0</v>
      </c>
      <c r="O95" s="287">
        <f t="shared" si="32"/>
        <v>0</v>
      </c>
      <c r="P95" s="287">
        <f t="shared" si="32"/>
        <v>0</v>
      </c>
      <c r="Q95" s="284">
        <f>SUM(E95:P95)</f>
        <v>0</v>
      </c>
    </row>
    <row r="96" spans="3:17" ht="14.25" customHeight="1" x14ac:dyDescent="0.2">
      <c r="C96" s="489" t="s">
        <v>147</v>
      </c>
      <c r="D96" s="491"/>
      <c r="E96" s="298">
        <f t="shared" ref="E96:P96" si="33">E90*$E$10</f>
        <v>0</v>
      </c>
      <c r="F96" s="298">
        <f t="shared" si="33"/>
        <v>0</v>
      </c>
      <c r="G96" s="298">
        <f t="shared" si="33"/>
        <v>0</v>
      </c>
      <c r="H96" s="298">
        <f t="shared" si="33"/>
        <v>0</v>
      </c>
      <c r="I96" s="298">
        <f t="shared" si="33"/>
        <v>0</v>
      </c>
      <c r="J96" s="298">
        <f t="shared" si="33"/>
        <v>0</v>
      </c>
      <c r="K96" s="298">
        <f t="shared" si="33"/>
        <v>0</v>
      </c>
      <c r="L96" s="298">
        <f t="shared" si="33"/>
        <v>0</v>
      </c>
      <c r="M96" s="298">
        <f t="shared" si="33"/>
        <v>0</v>
      </c>
      <c r="N96" s="298">
        <f t="shared" si="33"/>
        <v>0</v>
      </c>
      <c r="O96" s="298">
        <f t="shared" si="33"/>
        <v>0</v>
      </c>
      <c r="P96" s="298">
        <f t="shared" si="33"/>
        <v>0</v>
      </c>
      <c r="Q96" s="299">
        <f>SUM(E96:P96)</f>
        <v>0</v>
      </c>
    </row>
    <row r="97" spans="3:17" ht="14.25" customHeight="1" x14ac:dyDescent="0.2">
      <c r="C97" s="483" t="s">
        <v>2</v>
      </c>
      <c r="D97" s="484"/>
      <c r="E97" s="300">
        <f t="shared" ref="E97:P97" si="34">SUM(E94:E95)</f>
        <v>0</v>
      </c>
      <c r="F97" s="300">
        <f t="shared" si="34"/>
        <v>0</v>
      </c>
      <c r="G97" s="300">
        <f t="shared" si="34"/>
        <v>0</v>
      </c>
      <c r="H97" s="300">
        <f t="shared" si="34"/>
        <v>0</v>
      </c>
      <c r="I97" s="300">
        <f t="shared" si="34"/>
        <v>0</v>
      </c>
      <c r="J97" s="300">
        <f t="shared" si="34"/>
        <v>0</v>
      </c>
      <c r="K97" s="300">
        <f t="shared" si="34"/>
        <v>0</v>
      </c>
      <c r="L97" s="300">
        <f t="shared" si="34"/>
        <v>0</v>
      </c>
      <c r="M97" s="300">
        <f t="shared" si="34"/>
        <v>0</v>
      </c>
      <c r="N97" s="300">
        <f t="shared" si="34"/>
        <v>0</v>
      </c>
      <c r="O97" s="300">
        <f t="shared" si="34"/>
        <v>0</v>
      </c>
      <c r="P97" s="300">
        <f t="shared" si="34"/>
        <v>0</v>
      </c>
      <c r="Q97" s="294">
        <f>SUM(E97:P97)</f>
        <v>0</v>
      </c>
    </row>
    <row r="98" spans="3:17" ht="14.25" customHeight="1" x14ac:dyDescent="0.2">
      <c r="C98" s="288"/>
      <c r="D98" s="295"/>
      <c r="E98" s="296"/>
      <c r="F98" s="296"/>
      <c r="G98" s="296"/>
      <c r="H98" s="296"/>
      <c r="I98" s="296"/>
      <c r="J98" s="296"/>
      <c r="K98" s="296"/>
      <c r="L98" s="296"/>
      <c r="M98" s="296"/>
      <c r="N98" s="296"/>
      <c r="O98" s="296"/>
      <c r="P98" s="296"/>
      <c r="Q98" s="297"/>
    </row>
    <row r="99" spans="3:17" ht="14.25" customHeight="1" x14ac:dyDescent="0.2">
      <c r="C99" s="483" t="s">
        <v>13</v>
      </c>
      <c r="D99" s="484"/>
      <c r="E99" s="240" t="s">
        <v>181</v>
      </c>
      <c r="F99" s="240" t="s">
        <v>182</v>
      </c>
      <c r="G99" s="240" t="s">
        <v>183</v>
      </c>
      <c r="H99" s="240" t="s">
        <v>184</v>
      </c>
      <c r="I99" s="240" t="s">
        <v>185</v>
      </c>
      <c r="J99" s="240" t="s">
        <v>186</v>
      </c>
      <c r="K99" s="240" t="s">
        <v>187</v>
      </c>
      <c r="L99" s="240" t="s">
        <v>188</v>
      </c>
      <c r="M99" s="240" t="s">
        <v>189</v>
      </c>
      <c r="N99" s="240" t="s">
        <v>190</v>
      </c>
      <c r="O99" s="240" t="s">
        <v>191</v>
      </c>
      <c r="P99" s="240" t="s">
        <v>192</v>
      </c>
      <c r="Q99" s="304" t="s">
        <v>333</v>
      </c>
    </row>
    <row r="100" spans="3:17" ht="14.25" customHeight="1" x14ac:dyDescent="0.2">
      <c r="C100" s="489" t="s">
        <v>215</v>
      </c>
      <c r="D100" s="491"/>
      <c r="E100" s="287">
        <f>P70+E90+E91-E97</f>
        <v>0</v>
      </c>
      <c r="F100" s="287">
        <f t="shared" ref="F100:P100" si="35">E100+F90+F91-F97</f>
        <v>0</v>
      </c>
      <c r="G100" s="287">
        <f t="shared" si="35"/>
        <v>0</v>
      </c>
      <c r="H100" s="287">
        <f t="shared" si="35"/>
        <v>0</v>
      </c>
      <c r="I100" s="287">
        <f t="shared" si="35"/>
        <v>0</v>
      </c>
      <c r="J100" s="287">
        <f t="shared" si="35"/>
        <v>0</v>
      </c>
      <c r="K100" s="287">
        <f t="shared" si="35"/>
        <v>0</v>
      </c>
      <c r="L100" s="287">
        <f t="shared" si="35"/>
        <v>0</v>
      </c>
      <c r="M100" s="287">
        <f t="shared" si="35"/>
        <v>0</v>
      </c>
      <c r="N100" s="287">
        <f t="shared" si="35"/>
        <v>0</v>
      </c>
      <c r="O100" s="287">
        <f t="shared" si="35"/>
        <v>0</v>
      </c>
      <c r="P100" s="287">
        <f t="shared" si="35"/>
        <v>0</v>
      </c>
      <c r="Q100" s="284">
        <f>Q90+Q91-Q97</f>
        <v>0</v>
      </c>
    </row>
    <row r="101" spans="3:17" ht="14.25" customHeight="1" x14ac:dyDescent="0.2">
      <c r="Q101" s="4"/>
    </row>
    <row r="102" spans="3:17" ht="14.25" customHeight="1" x14ac:dyDescent="0.2"/>
    <row r="103" spans="3:17" ht="14.25" customHeight="1" x14ac:dyDescent="0.2"/>
    <row r="104" spans="3:17" ht="14.25" customHeight="1" x14ac:dyDescent="0.2"/>
    <row r="105" spans="3:17" ht="228" customHeight="1" x14ac:dyDescent="0.2">
      <c r="C105" s="445" t="s">
        <v>442</v>
      </c>
      <c r="D105" s="446"/>
      <c r="E105" s="446"/>
      <c r="F105" s="446"/>
      <c r="G105" s="446"/>
      <c r="H105" s="447"/>
    </row>
    <row r="106" spans="3:17" ht="14.25" customHeight="1" x14ac:dyDescent="0.25">
      <c r="C106" s="147" t="s">
        <v>197</v>
      </c>
    </row>
    <row r="107" spans="3:17" ht="14.25" customHeight="1" x14ac:dyDescent="0.2"/>
    <row r="108" spans="3:17" ht="14.25" customHeight="1" x14ac:dyDescent="0.2"/>
    <row r="109" spans="3:17" ht="14.25" customHeight="1" x14ac:dyDescent="0.2"/>
    <row r="110" spans="3:17" ht="14.25" customHeight="1" x14ac:dyDescent="0.2"/>
    <row r="111" spans="3:17" ht="14.25" customHeight="1" x14ac:dyDescent="0.2"/>
    <row r="112" spans="3:17"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sheetData>
  <sheetProtection algorithmName="SHA-512" hashValue="ZXFg0M47tjNa78rKdpOquYucdA0SVtYR5xecg37KEgrW77xldOHyGXo5T4r2sQsg4yK4WUqr5T3T1PIiI4rp6Q==" saltValue="97xcobKcGeViLocDmWD9/A==" spinCount="100000" sheet="1" objects="1" scenarios="1" formatColumns="0"/>
  <customSheetViews>
    <customSheetView guid="{E8D2897D-F373-4833-ABA9-6A8879B86992}" fitToPage="1">
      <selection activeCell="E7" sqref="E7"/>
      <pageMargins left="0.74803149606299213" right="0.74803149606299213" top="0.78740157480314965" bottom="0.78740157480314965" header="0.51181102362204722" footer="0.51181102362204722"/>
      <pageSetup paperSize="9" scale="70" orientation="landscape" r:id="rId1"/>
      <headerFooter alignWithMargins="0"/>
    </customSheetView>
  </customSheetViews>
  <mergeCells count="79">
    <mergeCell ref="C21:D21"/>
    <mergeCell ref="C22:D22"/>
    <mergeCell ref="C23:D23"/>
    <mergeCell ref="H5:I5"/>
    <mergeCell ref="H6:I6"/>
    <mergeCell ref="H7:I7"/>
    <mergeCell ref="H8:I8"/>
    <mergeCell ref="C14:D14"/>
    <mergeCell ref="C9:D9"/>
    <mergeCell ref="C8:D8"/>
    <mergeCell ref="C45:D45"/>
    <mergeCell ref="C100:D100"/>
    <mergeCell ref="C75:D75"/>
    <mergeCell ref="C76:D76"/>
    <mergeCell ref="C77:D77"/>
    <mergeCell ref="C60:D60"/>
    <mergeCell ref="C46:D46"/>
    <mergeCell ref="C47:D47"/>
    <mergeCell ref="C48:D48"/>
    <mergeCell ref="C50:D50"/>
    <mergeCell ref="C51:D51"/>
    <mergeCell ref="C52:D52"/>
    <mergeCell ref="C53:D53"/>
    <mergeCell ref="C55:D55"/>
    <mergeCell ref="C56:D56"/>
    <mergeCell ref="C57:D57"/>
    <mergeCell ref="C105:H105"/>
    <mergeCell ref="C64:D64"/>
    <mergeCell ref="C65:D65"/>
    <mergeCell ref="C66:D66"/>
    <mergeCell ref="C67:D67"/>
    <mergeCell ref="C88:D88"/>
    <mergeCell ref="C90:D90"/>
    <mergeCell ref="C91:D91"/>
    <mergeCell ref="C93:D93"/>
    <mergeCell ref="C99:D99"/>
    <mergeCell ref="C94:D94"/>
    <mergeCell ref="C95:D95"/>
    <mergeCell ref="C96:D96"/>
    <mergeCell ref="C97:D97"/>
    <mergeCell ref="C44:D44"/>
    <mergeCell ref="C39:D39"/>
    <mergeCell ref="C31:D31"/>
    <mergeCell ref="C26:D26"/>
    <mergeCell ref="C27:D27"/>
    <mergeCell ref="C28:D28"/>
    <mergeCell ref="C30:D30"/>
    <mergeCell ref="C40:D40"/>
    <mergeCell ref="C33:D33"/>
    <mergeCell ref="C3:F3"/>
    <mergeCell ref="C37:D37"/>
    <mergeCell ref="C36:D36"/>
    <mergeCell ref="C35:D35"/>
    <mergeCell ref="C34:D34"/>
    <mergeCell ref="C15:D15"/>
    <mergeCell ref="C5:D5"/>
    <mergeCell ref="C6:D6"/>
    <mergeCell ref="C7:D7"/>
    <mergeCell ref="C18:D18"/>
    <mergeCell ref="C20:D20"/>
    <mergeCell ref="C10:D10"/>
    <mergeCell ref="C11:D11"/>
    <mergeCell ref="C16:D16"/>
    <mergeCell ref="C17:D17"/>
    <mergeCell ref="C25:D25"/>
    <mergeCell ref="C58:D58"/>
    <mergeCell ref="C87:D87"/>
    <mergeCell ref="C61:D61"/>
    <mergeCell ref="C63:D63"/>
    <mergeCell ref="C69:D69"/>
    <mergeCell ref="C74:D74"/>
    <mergeCell ref="C70:D70"/>
    <mergeCell ref="C80:D80"/>
    <mergeCell ref="C78:D78"/>
    <mergeCell ref="C81:D81"/>
    <mergeCell ref="C82:D82"/>
    <mergeCell ref="C83:D83"/>
    <mergeCell ref="C85:D85"/>
    <mergeCell ref="C86:D86"/>
  </mergeCells>
  <phoneticPr fontId="2" type="noConversion"/>
  <dataValidations count="1">
    <dataValidation type="list" allowBlank="1" showInputMessage="1" showErrorMessage="1" sqref="J6:J8" xr:uid="{00000000-0002-0000-0400-000000000000}">
      <formula1>BTW</formula1>
    </dataValidation>
  </dataValidations>
  <hyperlinks>
    <hyperlink ref="C106" location="Verkoop!A1" display="naar boven" xr:uid="{00000000-0004-0000-0400-000000000000}"/>
    <hyperlink ref="C1" location="Verkoop!C105" display="hoe vul ik dit in?" xr:uid="{00000000-0004-0000-0400-000001000000}"/>
    <hyperlink ref="A2" r:id="rId2" xr:uid="{00000000-0004-0000-0400-000002000000}"/>
  </hyperlinks>
  <pageMargins left="0.25" right="0.25" top="0.75" bottom="0.75" header="0.3" footer="0.3"/>
  <pageSetup paperSize="9" scale="77" fitToHeight="0" orientation="landscape" r:id="rId3"/>
  <headerFooter alignWithMargins="0"/>
  <rowBreaks count="2" manualBreakCount="2">
    <brk id="42" min="1" max="17" man="1"/>
    <brk id="72" min="1" max="17" man="1"/>
  </rowBreaks>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tabColor rgb="FF232572"/>
    <pageSetUpPr fitToPage="1"/>
  </sheetPr>
  <dimension ref="A1:S119"/>
  <sheetViews>
    <sheetView zoomScale="90" zoomScaleNormal="90" workbookViewId="0">
      <selection activeCell="J6" sqref="J6"/>
    </sheetView>
  </sheetViews>
  <sheetFormatPr defaultRowHeight="15" x14ac:dyDescent="0.25"/>
  <cols>
    <col min="1" max="1" width="10" style="4" bestFit="1" customWidth="1"/>
    <col min="2" max="2" width="3.140625" style="4" customWidth="1"/>
    <col min="3" max="3" width="25.5703125" style="1" customWidth="1"/>
    <col min="4" max="4" width="8.7109375" style="1" customWidth="1"/>
    <col min="5" max="6" width="11.28515625" style="1" customWidth="1"/>
    <col min="7" max="7" width="12.85546875" style="1" customWidth="1"/>
    <col min="8" max="8" width="13.85546875" style="1" customWidth="1"/>
    <col min="9" max="9" width="14" style="1" customWidth="1"/>
    <col min="10" max="17" width="11.28515625" style="1" customWidth="1"/>
    <col min="18" max="18" width="4.42578125" style="1" customWidth="1"/>
    <col min="19" max="19" width="9.140625" style="1"/>
    <col min="20" max="20" width="9.140625" style="1" customWidth="1"/>
    <col min="21" max="16384" width="9.140625" style="1"/>
  </cols>
  <sheetData>
    <row r="1" spans="1:17" x14ac:dyDescent="0.25">
      <c r="C1" s="147" t="s">
        <v>198</v>
      </c>
    </row>
    <row r="2" spans="1:17" x14ac:dyDescent="0.25">
      <c r="A2" s="147" t="s">
        <v>200</v>
      </c>
      <c r="C2" s="171" t="s">
        <v>334</v>
      </c>
      <c r="G2" s="171" t="s">
        <v>335</v>
      </c>
      <c r="Q2" s="2"/>
    </row>
    <row r="3" spans="1:17" ht="31.5" x14ac:dyDescent="0.5">
      <c r="C3" s="431" t="s">
        <v>5</v>
      </c>
      <c r="D3" s="431"/>
      <c r="E3" s="431"/>
      <c r="F3" s="431"/>
      <c r="Q3" s="2"/>
    </row>
    <row r="4" spans="1:17" ht="14.25" customHeight="1" x14ac:dyDescent="0.25">
      <c r="Q4" s="2"/>
    </row>
    <row r="5" spans="1:17" s="4" customFormat="1" ht="14.25" customHeight="1" x14ac:dyDescent="0.2">
      <c r="C5" s="487" t="s">
        <v>165</v>
      </c>
      <c r="D5" s="494"/>
      <c r="E5" s="282" t="s">
        <v>148</v>
      </c>
      <c r="F5" s="92"/>
      <c r="G5" s="92"/>
      <c r="H5" s="487" t="s">
        <v>400</v>
      </c>
      <c r="I5" s="494"/>
      <c r="J5" s="282" t="s">
        <v>148</v>
      </c>
      <c r="K5" s="92"/>
      <c r="L5" s="92"/>
      <c r="M5" s="92"/>
      <c r="N5" s="92"/>
      <c r="O5" s="92"/>
      <c r="P5" s="92"/>
      <c r="Q5" s="93"/>
    </row>
    <row r="6" spans="1:17" s="4" customFormat="1" ht="14.25" customHeight="1" x14ac:dyDescent="0.25">
      <c r="C6" s="489" t="s">
        <v>164</v>
      </c>
      <c r="D6" s="490"/>
      <c r="E6" s="279">
        <v>1</v>
      </c>
      <c r="F6" s="92"/>
      <c r="G6" s="92"/>
      <c r="H6" s="489" t="s">
        <v>402</v>
      </c>
      <c r="I6" s="490"/>
      <c r="J6" s="279">
        <v>0.21</v>
      </c>
      <c r="K6" s="92"/>
      <c r="L6" s="92"/>
      <c r="M6" s="92"/>
      <c r="N6" s="92"/>
      <c r="O6" s="92"/>
      <c r="P6" s="92"/>
      <c r="Q6" s="93"/>
    </row>
    <row r="7" spans="1:17" s="4" customFormat="1" ht="14.25" customHeight="1" x14ac:dyDescent="0.25">
      <c r="C7" s="489" t="s">
        <v>3</v>
      </c>
      <c r="D7" s="490"/>
      <c r="E7" s="279">
        <v>0</v>
      </c>
      <c r="F7" s="92"/>
      <c r="G7" s="92"/>
      <c r="H7" s="489" t="s">
        <v>403</v>
      </c>
      <c r="I7" s="490"/>
      <c r="J7" s="279">
        <v>0.21</v>
      </c>
      <c r="K7" s="92"/>
      <c r="L7" s="92"/>
      <c r="M7" s="92"/>
      <c r="N7" s="92"/>
      <c r="O7" s="92"/>
      <c r="P7" s="92"/>
      <c r="Q7" s="93"/>
    </row>
    <row r="8" spans="1:17" s="4" customFormat="1" ht="14.25" customHeight="1" x14ac:dyDescent="0.25">
      <c r="C8" s="489" t="s">
        <v>4</v>
      </c>
      <c r="D8" s="490"/>
      <c r="E8" s="279">
        <v>0</v>
      </c>
      <c r="F8" s="92"/>
      <c r="G8" s="92"/>
      <c r="H8" s="489" t="s">
        <v>404</v>
      </c>
      <c r="I8" s="490"/>
      <c r="J8" s="279">
        <v>0.21</v>
      </c>
      <c r="K8" s="92"/>
      <c r="L8" s="92"/>
      <c r="M8" s="92"/>
      <c r="N8" s="92"/>
      <c r="O8" s="92"/>
      <c r="P8" s="92"/>
      <c r="Q8" s="93"/>
    </row>
    <row r="9" spans="1:17" ht="14.25" customHeight="1" x14ac:dyDescent="0.25">
      <c r="C9" s="489" t="s">
        <v>163</v>
      </c>
      <c r="D9" s="490"/>
      <c r="E9" s="279">
        <v>0</v>
      </c>
      <c r="F9" s="92"/>
      <c r="G9" s="92"/>
      <c r="H9" s="92"/>
      <c r="I9" s="92"/>
      <c r="J9" s="92"/>
      <c r="K9" s="92"/>
      <c r="L9" s="92"/>
      <c r="M9" s="92"/>
      <c r="N9" s="92"/>
      <c r="O9" s="92"/>
      <c r="P9" s="92"/>
      <c r="Q9" s="93"/>
    </row>
    <row r="10" spans="1:17" ht="14.25" customHeight="1" x14ac:dyDescent="0.25">
      <c r="C10" s="483" t="s">
        <v>158</v>
      </c>
      <c r="D10" s="493"/>
      <c r="E10" s="281">
        <f>SUM(E6:E9)</f>
        <v>1</v>
      </c>
      <c r="F10" s="95" t="str">
        <f>IF(E10=100%,"","ONJUIST")</f>
        <v/>
      </c>
      <c r="G10" s="92"/>
      <c r="H10" s="92"/>
      <c r="I10" s="92"/>
      <c r="J10" s="92"/>
      <c r="K10" s="92"/>
      <c r="L10" s="92"/>
      <c r="M10" s="92"/>
      <c r="N10" s="92"/>
      <c r="O10" s="92"/>
      <c r="P10" s="92"/>
      <c r="Q10" s="93"/>
    </row>
    <row r="11" spans="1:17" ht="14.25" customHeight="1" x14ac:dyDescent="0.25">
      <c r="C11" s="4"/>
      <c r="D11" s="4"/>
      <c r="E11" s="4"/>
      <c r="F11" s="4"/>
      <c r="G11" s="4"/>
      <c r="H11" s="171" t="str">
        <f>IF('Investering &amp; Financiering'!F18&gt;0,"Vul ook het aantal stuks en de inkoopprijs van de nog aan te schaffen startvoorraad uit de investeringsbegroting in dit overzicht in.","")</f>
        <v/>
      </c>
      <c r="I11" s="4"/>
      <c r="J11" s="4"/>
      <c r="K11" s="4"/>
      <c r="L11" s="4"/>
      <c r="M11" s="4"/>
      <c r="N11" s="4"/>
      <c r="O11" s="4"/>
      <c r="P11" s="4"/>
      <c r="Q11" s="32"/>
    </row>
    <row r="12" spans="1:17" ht="26.25" customHeight="1" x14ac:dyDescent="0.25">
      <c r="C12" s="169">
        <f>Intro!B4</f>
        <v>2023</v>
      </c>
      <c r="D12" s="4"/>
      <c r="E12" s="143">
        <v>1</v>
      </c>
      <c r="F12" s="143">
        <v>2</v>
      </c>
      <c r="G12" s="143">
        <v>3</v>
      </c>
      <c r="H12" s="143">
        <v>4</v>
      </c>
      <c r="I12" s="143">
        <v>5</v>
      </c>
      <c r="J12" s="143">
        <v>6</v>
      </c>
      <c r="K12" s="143">
        <v>7</v>
      </c>
      <c r="L12" s="143">
        <v>8</v>
      </c>
      <c r="M12" s="143">
        <v>9</v>
      </c>
      <c r="N12" s="143">
        <v>10</v>
      </c>
      <c r="O12" s="143">
        <v>11</v>
      </c>
      <c r="P12" s="143">
        <v>12</v>
      </c>
      <c r="Q12" s="32"/>
    </row>
    <row r="13" spans="1:17" ht="14.25" customHeight="1" x14ac:dyDescent="0.25">
      <c r="C13" s="487" t="s">
        <v>6</v>
      </c>
      <c r="D13" s="488" t="s">
        <v>55</v>
      </c>
      <c r="E13" s="237" t="s">
        <v>181</v>
      </c>
      <c r="F13" s="237" t="s">
        <v>182</v>
      </c>
      <c r="G13" s="237" t="s">
        <v>183</v>
      </c>
      <c r="H13" s="237" t="s">
        <v>184</v>
      </c>
      <c r="I13" s="237" t="s">
        <v>185</v>
      </c>
      <c r="J13" s="237" t="s">
        <v>186</v>
      </c>
      <c r="K13" s="237" t="s">
        <v>187</v>
      </c>
      <c r="L13" s="237" t="s">
        <v>188</v>
      </c>
      <c r="M13" s="237" t="s">
        <v>189</v>
      </c>
      <c r="N13" s="237" t="s">
        <v>190</v>
      </c>
      <c r="O13" s="237" t="s">
        <v>191</v>
      </c>
      <c r="P13" s="237" t="s">
        <v>192</v>
      </c>
      <c r="Q13" s="303" t="s">
        <v>2</v>
      </c>
    </row>
    <row r="14" spans="1:17" ht="14.25" customHeight="1" x14ac:dyDescent="0.25">
      <c r="C14" s="489" t="s">
        <v>168</v>
      </c>
      <c r="D14" s="491"/>
      <c r="E14" s="283"/>
      <c r="F14" s="283"/>
      <c r="G14" s="283"/>
      <c r="H14" s="283"/>
      <c r="I14" s="283"/>
      <c r="J14" s="283"/>
      <c r="K14" s="283"/>
      <c r="L14" s="283"/>
      <c r="M14" s="283"/>
      <c r="N14" s="283"/>
      <c r="O14" s="283"/>
      <c r="P14" s="283"/>
      <c r="Q14" s="284">
        <f>SUM(E14:P14)</f>
        <v>0</v>
      </c>
    </row>
    <row r="15" spans="1:17" ht="14.25" customHeight="1" x14ac:dyDescent="0.25">
      <c r="C15" s="489" t="s">
        <v>166</v>
      </c>
      <c r="D15" s="491"/>
      <c r="E15" s="305"/>
      <c r="F15" s="292"/>
      <c r="G15" s="292"/>
      <c r="H15" s="292"/>
      <c r="I15" s="292"/>
      <c r="J15" s="292"/>
      <c r="K15" s="292"/>
      <c r="L15" s="292"/>
      <c r="M15" s="292"/>
      <c r="N15" s="292"/>
      <c r="O15" s="292"/>
      <c r="P15" s="292"/>
      <c r="Q15" s="306">
        <f>IF(Q14=0,0,Q17/Q14)</f>
        <v>0</v>
      </c>
    </row>
    <row r="16" spans="1:17" ht="14.25" customHeight="1" x14ac:dyDescent="0.25">
      <c r="C16" s="485" t="s">
        <v>157</v>
      </c>
      <c r="D16" s="486">
        <v>0.21</v>
      </c>
      <c r="E16" s="286">
        <f>E17*$J$6</f>
        <v>0</v>
      </c>
      <c r="F16" s="286">
        <f t="shared" ref="F16:O16" si="0">F17*$J$6</f>
        <v>0</v>
      </c>
      <c r="G16" s="286">
        <f t="shared" si="0"/>
        <v>0</v>
      </c>
      <c r="H16" s="286">
        <f t="shared" si="0"/>
        <v>0</v>
      </c>
      <c r="I16" s="286">
        <f t="shared" si="0"/>
        <v>0</v>
      </c>
      <c r="J16" s="286">
        <f t="shared" si="0"/>
        <v>0</v>
      </c>
      <c r="K16" s="286">
        <f t="shared" si="0"/>
        <v>0</v>
      </c>
      <c r="L16" s="286">
        <f t="shared" si="0"/>
        <v>0</v>
      </c>
      <c r="M16" s="286">
        <f t="shared" si="0"/>
        <v>0</v>
      </c>
      <c r="N16" s="286">
        <f t="shared" si="0"/>
        <v>0</v>
      </c>
      <c r="O16" s="286">
        <f t="shared" si="0"/>
        <v>0</v>
      </c>
      <c r="P16" s="286">
        <f>P17*$J$6</f>
        <v>0</v>
      </c>
      <c r="Q16" s="284">
        <f>SUM(E16:P16)</f>
        <v>0</v>
      </c>
    </row>
    <row r="17" spans="1:18" ht="14.25" customHeight="1" x14ac:dyDescent="0.25">
      <c r="A17" s="96">
        <v>0.19</v>
      </c>
      <c r="C17" s="483" t="s">
        <v>203</v>
      </c>
      <c r="D17" s="484"/>
      <c r="E17" s="287">
        <f>E14*E15</f>
        <v>0</v>
      </c>
      <c r="F17" s="287">
        <f t="shared" ref="F17:P17" si="1">F14*F15</f>
        <v>0</v>
      </c>
      <c r="G17" s="287">
        <f t="shared" si="1"/>
        <v>0</v>
      </c>
      <c r="H17" s="287">
        <f t="shared" si="1"/>
        <v>0</v>
      </c>
      <c r="I17" s="287">
        <f t="shared" si="1"/>
        <v>0</v>
      </c>
      <c r="J17" s="287">
        <f t="shared" si="1"/>
        <v>0</v>
      </c>
      <c r="K17" s="287">
        <f t="shared" si="1"/>
        <v>0</v>
      </c>
      <c r="L17" s="287">
        <f t="shared" si="1"/>
        <v>0</v>
      </c>
      <c r="M17" s="287">
        <f t="shared" si="1"/>
        <v>0</v>
      </c>
      <c r="N17" s="287">
        <f t="shared" si="1"/>
        <v>0</v>
      </c>
      <c r="O17" s="287">
        <f t="shared" si="1"/>
        <v>0</v>
      </c>
      <c r="P17" s="287">
        <f t="shared" si="1"/>
        <v>0</v>
      </c>
      <c r="Q17" s="284">
        <f>SUM(E17:P17)</f>
        <v>0</v>
      </c>
    </row>
    <row r="18" spans="1:18" ht="14.25" customHeight="1" x14ac:dyDescent="0.25">
      <c r="A18" s="96"/>
      <c r="C18" s="288"/>
      <c r="D18" s="289"/>
      <c r="E18" s="290"/>
      <c r="F18" s="290"/>
      <c r="G18" s="290"/>
      <c r="H18" s="290"/>
      <c r="I18" s="290"/>
      <c r="J18" s="290"/>
      <c r="K18" s="290"/>
      <c r="L18" s="290"/>
      <c r="M18" s="290"/>
      <c r="N18" s="290"/>
      <c r="O18" s="290"/>
      <c r="P18" s="290"/>
      <c r="Q18" s="291"/>
    </row>
    <row r="19" spans="1:18" ht="14.25" customHeight="1" x14ac:dyDescent="0.25">
      <c r="A19" s="96">
        <v>0.06</v>
      </c>
      <c r="C19" s="489" t="s">
        <v>167</v>
      </c>
      <c r="D19" s="491"/>
      <c r="E19" s="283"/>
      <c r="F19" s="283"/>
      <c r="G19" s="283"/>
      <c r="H19" s="283"/>
      <c r="I19" s="283"/>
      <c r="J19" s="283"/>
      <c r="K19" s="283"/>
      <c r="L19" s="283"/>
      <c r="M19" s="283"/>
      <c r="N19" s="283"/>
      <c r="O19" s="283"/>
      <c r="P19" s="283"/>
      <c r="Q19" s="284">
        <f>SUM(E19:P19)</f>
        <v>0</v>
      </c>
    </row>
    <row r="20" spans="1:18" ht="14.25" customHeight="1" x14ac:dyDescent="0.25">
      <c r="A20" s="96">
        <v>0</v>
      </c>
      <c r="C20" s="489" t="s">
        <v>169</v>
      </c>
      <c r="D20" s="491"/>
      <c r="E20" s="292"/>
      <c r="F20" s="292"/>
      <c r="G20" s="292"/>
      <c r="H20" s="292"/>
      <c r="I20" s="292"/>
      <c r="J20" s="292"/>
      <c r="K20" s="292"/>
      <c r="L20" s="292"/>
      <c r="M20" s="292"/>
      <c r="N20" s="292"/>
      <c r="O20" s="292"/>
      <c r="P20" s="292"/>
      <c r="Q20" s="306">
        <f>IF(Q19=0,0,Q22/Q19)</f>
        <v>0</v>
      </c>
    </row>
    <row r="21" spans="1:18" ht="14.25" customHeight="1" x14ac:dyDescent="0.25">
      <c r="C21" s="485" t="s">
        <v>157</v>
      </c>
      <c r="D21" s="486">
        <v>0.21</v>
      </c>
      <c r="E21" s="286">
        <f>E22*$J$7</f>
        <v>0</v>
      </c>
      <c r="F21" s="286">
        <f t="shared" ref="F21:P21" si="2">F22*$J$7</f>
        <v>0</v>
      </c>
      <c r="G21" s="286">
        <f t="shared" si="2"/>
        <v>0</v>
      </c>
      <c r="H21" s="286">
        <f t="shared" si="2"/>
        <v>0</v>
      </c>
      <c r="I21" s="286">
        <f t="shared" si="2"/>
        <v>0</v>
      </c>
      <c r="J21" s="286">
        <f t="shared" si="2"/>
        <v>0</v>
      </c>
      <c r="K21" s="286">
        <f t="shared" si="2"/>
        <v>0</v>
      </c>
      <c r="L21" s="286">
        <f t="shared" si="2"/>
        <v>0</v>
      </c>
      <c r="M21" s="286">
        <f t="shared" si="2"/>
        <v>0</v>
      </c>
      <c r="N21" s="286">
        <f t="shared" si="2"/>
        <v>0</v>
      </c>
      <c r="O21" s="286">
        <f t="shared" si="2"/>
        <v>0</v>
      </c>
      <c r="P21" s="286">
        <f t="shared" si="2"/>
        <v>0</v>
      </c>
      <c r="Q21" s="284">
        <f>SUM(E21:P21)</f>
        <v>0</v>
      </c>
    </row>
    <row r="22" spans="1:18" ht="14.25" customHeight="1" x14ac:dyDescent="0.25">
      <c r="C22" s="483" t="s">
        <v>204</v>
      </c>
      <c r="D22" s="484"/>
      <c r="E22" s="287">
        <f t="shared" ref="E22:P22" si="3">E19*E20</f>
        <v>0</v>
      </c>
      <c r="F22" s="287">
        <f t="shared" si="3"/>
        <v>0</v>
      </c>
      <c r="G22" s="287">
        <f t="shared" si="3"/>
        <v>0</v>
      </c>
      <c r="H22" s="287">
        <f t="shared" si="3"/>
        <v>0</v>
      </c>
      <c r="I22" s="287">
        <f t="shared" si="3"/>
        <v>0</v>
      </c>
      <c r="J22" s="287">
        <f t="shared" si="3"/>
        <v>0</v>
      </c>
      <c r="K22" s="287">
        <f t="shared" si="3"/>
        <v>0</v>
      </c>
      <c r="L22" s="287">
        <f t="shared" si="3"/>
        <v>0</v>
      </c>
      <c r="M22" s="287">
        <f t="shared" si="3"/>
        <v>0</v>
      </c>
      <c r="N22" s="287">
        <f t="shared" si="3"/>
        <v>0</v>
      </c>
      <c r="O22" s="287">
        <f t="shared" si="3"/>
        <v>0</v>
      </c>
      <c r="P22" s="287">
        <f t="shared" si="3"/>
        <v>0</v>
      </c>
      <c r="Q22" s="284">
        <f>SUM(E22:P22)</f>
        <v>0</v>
      </c>
    </row>
    <row r="23" spans="1:18" ht="14.25" customHeight="1" x14ac:dyDescent="0.25">
      <c r="C23" s="288"/>
      <c r="D23" s="289"/>
      <c r="E23" s="290"/>
      <c r="F23" s="290"/>
      <c r="G23" s="290"/>
      <c r="H23" s="290"/>
      <c r="I23" s="290"/>
      <c r="J23" s="290"/>
      <c r="K23" s="290"/>
      <c r="L23" s="290"/>
      <c r="M23" s="290"/>
      <c r="N23" s="290"/>
      <c r="O23" s="290"/>
      <c r="P23" s="290"/>
      <c r="Q23" s="291"/>
    </row>
    <row r="24" spans="1:18" s="4" customFormat="1" ht="14.25" customHeight="1" x14ac:dyDescent="0.25">
      <c r="C24" s="489" t="s">
        <v>170</v>
      </c>
      <c r="D24" s="491"/>
      <c r="E24" s="283"/>
      <c r="F24" s="283"/>
      <c r="G24" s="283"/>
      <c r="H24" s="283"/>
      <c r="I24" s="283"/>
      <c r="J24" s="283"/>
      <c r="K24" s="283"/>
      <c r="L24" s="283"/>
      <c r="M24" s="283"/>
      <c r="N24" s="283"/>
      <c r="O24" s="283"/>
      <c r="P24" s="283"/>
      <c r="Q24" s="284">
        <f>SUM(E24:P24)</f>
        <v>0</v>
      </c>
      <c r="R24" s="1"/>
    </row>
    <row r="25" spans="1:18" s="4" customFormat="1" ht="14.25" customHeight="1" x14ac:dyDescent="0.25">
      <c r="C25" s="489" t="s">
        <v>171</v>
      </c>
      <c r="D25" s="491"/>
      <c r="E25" s="292"/>
      <c r="F25" s="292"/>
      <c r="G25" s="292"/>
      <c r="H25" s="292"/>
      <c r="I25" s="292"/>
      <c r="J25" s="292"/>
      <c r="K25" s="292"/>
      <c r="L25" s="292"/>
      <c r="M25" s="292"/>
      <c r="N25" s="292"/>
      <c r="O25" s="292"/>
      <c r="P25" s="292"/>
      <c r="Q25" s="306">
        <f>IF(Q24=0,0,Q27/Q24)</f>
        <v>0</v>
      </c>
      <c r="R25" s="1"/>
    </row>
    <row r="26" spans="1:18" s="4" customFormat="1" ht="14.25" customHeight="1" x14ac:dyDescent="0.25">
      <c r="C26" s="485" t="s">
        <v>157</v>
      </c>
      <c r="D26" s="486">
        <v>0.21</v>
      </c>
      <c r="E26" s="286">
        <f>E27*$J$8</f>
        <v>0</v>
      </c>
      <c r="F26" s="286">
        <f t="shared" ref="F26:P26" si="4">F27*$J$8</f>
        <v>0</v>
      </c>
      <c r="G26" s="286">
        <f t="shared" si="4"/>
        <v>0</v>
      </c>
      <c r="H26" s="286">
        <f t="shared" si="4"/>
        <v>0</v>
      </c>
      <c r="I26" s="286">
        <f t="shared" si="4"/>
        <v>0</v>
      </c>
      <c r="J26" s="286">
        <f t="shared" si="4"/>
        <v>0</v>
      </c>
      <c r="K26" s="286">
        <f t="shared" si="4"/>
        <v>0</v>
      </c>
      <c r="L26" s="286">
        <f t="shared" si="4"/>
        <v>0</v>
      </c>
      <c r="M26" s="286">
        <f t="shared" si="4"/>
        <v>0</v>
      </c>
      <c r="N26" s="286">
        <f t="shared" si="4"/>
        <v>0</v>
      </c>
      <c r="O26" s="286">
        <f t="shared" si="4"/>
        <v>0</v>
      </c>
      <c r="P26" s="286">
        <f t="shared" si="4"/>
        <v>0</v>
      </c>
      <c r="Q26" s="284">
        <f>SUM(E26:P26)</f>
        <v>0</v>
      </c>
    </row>
    <row r="27" spans="1:18" s="4" customFormat="1" ht="14.25" customHeight="1" x14ac:dyDescent="0.2">
      <c r="C27" s="483" t="s">
        <v>206</v>
      </c>
      <c r="D27" s="484"/>
      <c r="E27" s="287">
        <f t="shared" ref="E27:P27" si="5">E24*E25</f>
        <v>0</v>
      </c>
      <c r="F27" s="287">
        <f t="shared" si="5"/>
        <v>0</v>
      </c>
      <c r="G27" s="287">
        <f t="shared" si="5"/>
        <v>0</v>
      </c>
      <c r="H27" s="287">
        <f t="shared" si="5"/>
        <v>0</v>
      </c>
      <c r="I27" s="287">
        <f t="shared" si="5"/>
        <v>0</v>
      </c>
      <c r="J27" s="287">
        <f t="shared" si="5"/>
        <v>0</v>
      </c>
      <c r="K27" s="287">
        <f t="shared" si="5"/>
        <v>0</v>
      </c>
      <c r="L27" s="287">
        <f t="shared" si="5"/>
        <v>0</v>
      </c>
      <c r="M27" s="287">
        <f t="shared" si="5"/>
        <v>0</v>
      </c>
      <c r="N27" s="287">
        <f t="shared" si="5"/>
        <v>0</v>
      </c>
      <c r="O27" s="287">
        <f t="shared" si="5"/>
        <v>0</v>
      </c>
      <c r="P27" s="287">
        <f t="shared" si="5"/>
        <v>0</v>
      </c>
      <c r="Q27" s="284">
        <f>SUM(E27:P27)</f>
        <v>0</v>
      </c>
    </row>
    <row r="28" spans="1:18" s="4" customFormat="1" ht="14.25" customHeight="1" x14ac:dyDescent="0.2">
      <c r="C28" s="288"/>
      <c r="D28" s="289"/>
      <c r="E28" s="290"/>
      <c r="F28" s="290"/>
      <c r="G28" s="290"/>
      <c r="H28" s="290"/>
      <c r="I28" s="290"/>
      <c r="J28" s="290"/>
      <c r="K28" s="290"/>
      <c r="L28" s="290"/>
      <c r="M28" s="290"/>
      <c r="N28" s="290"/>
      <c r="O28" s="290"/>
      <c r="P28" s="290"/>
      <c r="Q28" s="291"/>
    </row>
    <row r="29" spans="1:18" s="4" customFormat="1" ht="14.25" customHeight="1" x14ac:dyDescent="0.2">
      <c r="C29" s="483" t="s">
        <v>205</v>
      </c>
      <c r="D29" s="484"/>
      <c r="E29" s="293">
        <f t="shared" ref="E29:P29" si="6">+E17+E22+E27</f>
        <v>0</v>
      </c>
      <c r="F29" s="293">
        <f t="shared" si="6"/>
        <v>0</v>
      </c>
      <c r="G29" s="293">
        <f t="shared" si="6"/>
        <v>0</v>
      </c>
      <c r="H29" s="293">
        <f t="shared" si="6"/>
        <v>0</v>
      </c>
      <c r="I29" s="293">
        <f t="shared" si="6"/>
        <v>0</v>
      </c>
      <c r="J29" s="293">
        <f t="shared" si="6"/>
        <v>0</v>
      </c>
      <c r="K29" s="293">
        <f t="shared" si="6"/>
        <v>0</v>
      </c>
      <c r="L29" s="293">
        <f t="shared" si="6"/>
        <v>0</v>
      </c>
      <c r="M29" s="293">
        <f t="shared" si="6"/>
        <v>0</v>
      </c>
      <c r="N29" s="293">
        <f t="shared" si="6"/>
        <v>0</v>
      </c>
      <c r="O29" s="293">
        <f t="shared" si="6"/>
        <v>0</v>
      </c>
      <c r="P29" s="293">
        <f t="shared" si="6"/>
        <v>0</v>
      </c>
      <c r="Q29" s="294">
        <f>SUM(E29:P29)</f>
        <v>0</v>
      </c>
    </row>
    <row r="30" spans="1:18" s="4" customFormat="1" ht="14.25" customHeight="1" x14ac:dyDescent="0.2">
      <c r="C30" s="483" t="s">
        <v>160</v>
      </c>
      <c r="D30" s="484"/>
      <c r="E30" s="293">
        <f t="shared" ref="E30:P30" si="7">+E16+E21+E26</f>
        <v>0</v>
      </c>
      <c r="F30" s="293">
        <f t="shared" si="7"/>
        <v>0</v>
      </c>
      <c r="G30" s="293">
        <f t="shared" si="7"/>
        <v>0</v>
      </c>
      <c r="H30" s="293">
        <f t="shared" si="7"/>
        <v>0</v>
      </c>
      <c r="I30" s="293">
        <f t="shared" si="7"/>
        <v>0</v>
      </c>
      <c r="J30" s="293">
        <f t="shared" si="7"/>
        <v>0</v>
      </c>
      <c r="K30" s="293">
        <f t="shared" si="7"/>
        <v>0</v>
      </c>
      <c r="L30" s="293">
        <f t="shared" si="7"/>
        <v>0</v>
      </c>
      <c r="M30" s="293">
        <f t="shared" si="7"/>
        <v>0</v>
      </c>
      <c r="N30" s="293">
        <f t="shared" si="7"/>
        <v>0</v>
      </c>
      <c r="O30" s="293">
        <f t="shared" si="7"/>
        <v>0</v>
      </c>
      <c r="P30" s="293">
        <f t="shared" si="7"/>
        <v>0</v>
      </c>
      <c r="Q30" s="294">
        <f>SUM(E30:P30)</f>
        <v>0</v>
      </c>
    </row>
    <row r="31" spans="1:18" s="4" customFormat="1" ht="14.25" customHeight="1" x14ac:dyDescent="0.2">
      <c r="Q31" s="32"/>
    </row>
    <row r="32" spans="1:18" s="4" customFormat="1" ht="30" x14ac:dyDescent="0.2">
      <c r="C32" s="496" t="s">
        <v>177</v>
      </c>
      <c r="D32" s="497"/>
      <c r="E32" s="307" t="s">
        <v>178</v>
      </c>
      <c r="F32" s="307" t="s">
        <v>176</v>
      </c>
      <c r="G32" s="307" t="s">
        <v>180</v>
      </c>
      <c r="H32" s="307" t="s">
        <v>219</v>
      </c>
      <c r="I32" s="308" t="s">
        <v>179</v>
      </c>
      <c r="Q32" s="32"/>
    </row>
    <row r="33" spans="3:18" s="4" customFormat="1" ht="14.25" customHeight="1" x14ac:dyDescent="0.25">
      <c r="C33" s="489" t="s">
        <v>172</v>
      </c>
      <c r="D33" s="491"/>
      <c r="E33" s="286">
        <f ca="1">Q14+IF(YEAR('Investering &amp; Financiering'!$E$51)=Inkoop!C12,IF(Inkoop!Q15=0,0,('Investering &amp; Financiering'!$D$18+'Investering &amp; Financiering'!$E$18)/Inkoop!Q15),0)</f>
        <v>0</v>
      </c>
      <c r="F33" s="286">
        <f>Verkoop!Q15</f>
        <v>0</v>
      </c>
      <c r="G33" s="286">
        <f ca="1">IF(E33-F33&lt;0,0,E33-F33)</f>
        <v>0</v>
      </c>
      <c r="H33" s="286">
        <f ca="1">G33*Q15</f>
        <v>0</v>
      </c>
      <c r="I33" s="284">
        <f>F33*Q15</f>
        <v>0</v>
      </c>
      <c r="Q33" s="32"/>
    </row>
    <row r="34" spans="3:18" s="4" customFormat="1" ht="14.25" customHeight="1" x14ac:dyDescent="0.25">
      <c r="C34" s="489" t="s">
        <v>173</v>
      </c>
      <c r="D34" s="491"/>
      <c r="E34" s="286">
        <f ca="1">Q19+IF(YEAR('Investering &amp; Financiering'!$E$51)=Inkoop!C12,IF(Inkoop!Q20=0,0,('Investering &amp; Financiering'!$D$19+'Investering &amp; Financiering'!$E$19)/Inkoop!Q20),0)</f>
        <v>0</v>
      </c>
      <c r="F34" s="286">
        <f>Verkoop!Q20</f>
        <v>0</v>
      </c>
      <c r="G34" s="286">
        <f ca="1">IF(E34-F34&lt;0,0,E34-F34)</f>
        <v>0</v>
      </c>
      <c r="H34" s="286">
        <f ca="1">G34*Q20</f>
        <v>0</v>
      </c>
      <c r="I34" s="284">
        <f>F34*Q20</f>
        <v>0</v>
      </c>
      <c r="Q34" s="32"/>
    </row>
    <row r="35" spans="3:18" s="4" customFormat="1" ht="14.25" customHeight="1" x14ac:dyDescent="0.25">
      <c r="C35" s="489" t="s">
        <v>174</v>
      </c>
      <c r="D35" s="491"/>
      <c r="E35" s="286">
        <f ca="1">Q24+IF(YEAR('Investering &amp; Financiering'!$E$51)=Inkoop!C12,IF(Inkoop!Q25=0,0,('Investering &amp; Financiering'!$D$20+'Investering &amp; Financiering'!$E$20)/Inkoop!Q25),0)</f>
        <v>0</v>
      </c>
      <c r="F35" s="286">
        <f>Verkoop!Q25</f>
        <v>0</v>
      </c>
      <c r="G35" s="286">
        <f ca="1">IF(E35-F35&lt;0,0,E35-F35)</f>
        <v>0</v>
      </c>
      <c r="H35" s="286">
        <f ca="1">G35*Q25</f>
        <v>0</v>
      </c>
      <c r="I35" s="284">
        <f>F35*Q25</f>
        <v>0</v>
      </c>
      <c r="Q35" s="32"/>
    </row>
    <row r="36" spans="3:18" s="4" customFormat="1" ht="14.25" customHeight="1" x14ac:dyDescent="0.25">
      <c r="C36" s="1"/>
      <c r="E36" s="1"/>
      <c r="F36" s="1"/>
      <c r="H36" s="311">
        <f ca="1">SUM(H33:H35)</f>
        <v>0</v>
      </c>
      <c r="I36" s="294">
        <f>SUM(I33:I35)</f>
        <v>0</v>
      </c>
      <c r="Q36" s="32"/>
    </row>
    <row r="37" spans="3:18" s="4" customFormat="1" ht="14.25" customHeight="1" x14ac:dyDescent="0.25">
      <c r="C37" s="1"/>
      <c r="D37" s="1"/>
      <c r="E37" s="1"/>
      <c r="F37" s="1"/>
      <c r="G37" s="1"/>
      <c r="H37" s="1"/>
      <c r="Q37" s="32"/>
    </row>
    <row r="38" spans="3:18" s="4" customFormat="1" ht="14.25" customHeight="1" x14ac:dyDescent="0.2">
      <c r="C38" s="309" t="s">
        <v>332</v>
      </c>
      <c r="D38" s="310" t="s">
        <v>55</v>
      </c>
      <c r="E38" s="237" t="s">
        <v>181</v>
      </c>
      <c r="F38" s="237" t="s">
        <v>182</v>
      </c>
      <c r="G38" s="237" t="s">
        <v>183</v>
      </c>
      <c r="H38" s="237" t="s">
        <v>184</v>
      </c>
      <c r="I38" s="237" t="s">
        <v>185</v>
      </c>
      <c r="J38" s="237" t="s">
        <v>186</v>
      </c>
      <c r="K38" s="237" t="s">
        <v>187</v>
      </c>
      <c r="L38" s="237" t="s">
        <v>188</v>
      </c>
      <c r="M38" s="237" t="s">
        <v>189</v>
      </c>
      <c r="N38" s="237" t="s">
        <v>190</v>
      </c>
      <c r="O38" s="237" t="s">
        <v>191</v>
      </c>
      <c r="P38" s="237" t="s">
        <v>192</v>
      </c>
      <c r="Q38" s="303" t="s">
        <v>2</v>
      </c>
    </row>
    <row r="39" spans="3:18" s="4" customFormat="1" ht="14.25" customHeight="1" x14ac:dyDescent="0.2">
      <c r="C39" s="489" t="s">
        <v>175</v>
      </c>
      <c r="D39" s="490"/>
      <c r="E39" s="287">
        <f>E29*$E$6</f>
        <v>0</v>
      </c>
      <c r="F39" s="287">
        <f>(F29*$E$6)+(E29*$E$7)</f>
        <v>0</v>
      </c>
      <c r="G39" s="287">
        <f>(G29*$E$6)+(F29*$E$7)+(E29*$E$8)</f>
        <v>0</v>
      </c>
      <c r="H39" s="287">
        <f t="shared" ref="H39:P40" si="8">(H29*$E$6)+(G29*$E$7)+(F29*$E$8)+(E29*$E$9)</f>
        <v>0</v>
      </c>
      <c r="I39" s="287">
        <f t="shared" si="8"/>
        <v>0</v>
      </c>
      <c r="J39" s="287">
        <f t="shared" si="8"/>
        <v>0</v>
      </c>
      <c r="K39" s="287">
        <f>(K29*$E$6)+(J29*$E$7)+(I29*$E$8)+(H29*$E$9)</f>
        <v>0</v>
      </c>
      <c r="L39" s="287">
        <f t="shared" si="8"/>
        <v>0</v>
      </c>
      <c r="M39" s="287">
        <f t="shared" si="8"/>
        <v>0</v>
      </c>
      <c r="N39" s="287">
        <f t="shared" si="8"/>
        <v>0</v>
      </c>
      <c r="O39" s="287">
        <f t="shared" si="8"/>
        <v>0</v>
      </c>
      <c r="P39" s="287">
        <f>(P29*$E$6)+(O29*$E$7)+(N29*$E$8)+(M29*$E$9)</f>
        <v>0</v>
      </c>
      <c r="Q39" s="284">
        <f>SUM(E39:P39)</f>
        <v>0</v>
      </c>
    </row>
    <row r="40" spans="3:18" s="4" customFormat="1" ht="14.25" customHeight="1" x14ac:dyDescent="0.2">
      <c r="C40" s="489" t="s">
        <v>162</v>
      </c>
      <c r="D40" s="490"/>
      <c r="E40" s="287">
        <f>E30*$E$6</f>
        <v>0</v>
      </c>
      <c r="F40" s="287">
        <f>(F30*$E$6)+(E30*$E$7)</f>
        <v>0</v>
      </c>
      <c r="G40" s="287">
        <f>(G30*$E$6)+(F30*$E$7)+(E30*$E$8)</f>
        <v>0</v>
      </c>
      <c r="H40" s="287">
        <f t="shared" si="8"/>
        <v>0</v>
      </c>
      <c r="I40" s="287">
        <f t="shared" si="8"/>
        <v>0</v>
      </c>
      <c r="J40" s="287">
        <f t="shared" si="8"/>
        <v>0</v>
      </c>
      <c r="K40" s="287">
        <f t="shared" si="8"/>
        <v>0</v>
      </c>
      <c r="L40" s="287">
        <f t="shared" si="8"/>
        <v>0</v>
      </c>
      <c r="M40" s="287">
        <f t="shared" si="8"/>
        <v>0</v>
      </c>
      <c r="N40" s="287">
        <f t="shared" si="8"/>
        <v>0</v>
      </c>
      <c r="O40" s="287">
        <f t="shared" si="8"/>
        <v>0</v>
      </c>
      <c r="P40" s="287">
        <f t="shared" si="8"/>
        <v>0</v>
      </c>
      <c r="Q40" s="284">
        <f>SUM(E40:P40)</f>
        <v>0</v>
      </c>
    </row>
    <row r="41" spans="3:18" s="4" customFormat="1" ht="14.25" customHeight="1" x14ac:dyDescent="0.2">
      <c r="C41" s="483" t="s">
        <v>2</v>
      </c>
      <c r="D41" s="484"/>
      <c r="E41" s="300">
        <f>SUM(E39:E40)</f>
        <v>0</v>
      </c>
      <c r="F41" s="300">
        <f t="shared" ref="F41:O41" si="9">SUM(F39:F40)</f>
        <v>0</v>
      </c>
      <c r="G41" s="300">
        <f t="shared" si="9"/>
        <v>0</v>
      </c>
      <c r="H41" s="300">
        <f t="shared" si="9"/>
        <v>0</v>
      </c>
      <c r="I41" s="300">
        <f t="shared" si="9"/>
        <v>0</v>
      </c>
      <c r="J41" s="300">
        <f t="shared" si="9"/>
        <v>0</v>
      </c>
      <c r="K41" s="300">
        <f t="shared" si="9"/>
        <v>0</v>
      </c>
      <c r="L41" s="300">
        <f t="shared" si="9"/>
        <v>0</v>
      </c>
      <c r="M41" s="300">
        <f t="shared" si="9"/>
        <v>0</v>
      </c>
      <c r="N41" s="300">
        <f t="shared" si="9"/>
        <v>0</v>
      </c>
      <c r="O41" s="300">
        <f t="shared" si="9"/>
        <v>0</v>
      </c>
      <c r="P41" s="300">
        <f>SUM(P39:P40)</f>
        <v>0</v>
      </c>
      <c r="Q41" s="294">
        <f>SUM(E41:P41)</f>
        <v>0</v>
      </c>
    </row>
    <row r="42" spans="3:18" s="4" customFormat="1" ht="14.25" customHeight="1" x14ac:dyDescent="0.2">
      <c r="C42" s="170"/>
      <c r="D42" s="19"/>
      <c r="E42" s="109"/>
      <c r="F42" s="109"/>
      <c r="G42" s="109"/>
      <c r="H42" s="109"/>
      <c r="I42" s="109"/>
      <c r="J42" s="109"/>
      <c r="K42" s="109"/>
      <c r="L42" s="109"/>
      <c r="M42" s="109"/>
      <c r="N42" s="109"/>
      <c r="O42" s="109"/>
      <c r="P42" s="109"/>
      <c r="Q42" s="109"/>
    </row>
    <row r="43" spans="3:18" s="4" customFormat="1" ht="14.25" customHeight="1" x14ac:dyDescent="0.2">
      <c r="C43" s="309" t="s">
        <v>52</v>
      </c>
      <c r="D43" s="310" t="s">
        <v>55</v>
      </c>
      <c r="E43" s="237" t="s">
        <v>181</v>
      </c>
      <c r="F43" s="237" t="s">
        <v>182</v>
      </c>
      <c r="G43" s="237" t="s">
        <v>183</v>
      </c>
      <c r="H43" s="237" t="s">
        <v>184</v>
      </c>
      <c r="I43" s="237" t="s">
        <v>185</v>
      </c>
      <c r="J43" s="237" t="s">
        <v>186</v>
      </c>
      <c r="K43" s="237" t="s">
        <v>187</v>
      </c>
      <c r="L43" s="237" t="s">
        <v>188</v>
      </c>
      <c r="M43" s="237" t="s">
        <v>189</v>
      </c>
      <c r="N43" s="237" t="s">
        <v>190</v>
      </c>
      <c r="O43" s="237" t="s">
        <v>191</v>
      </c>
      <c r="P43" s="237" t="s">
        <v>192</v>
      </c>
      <c r="Q43" s="303" t="s">
        <v>333</v>
      </c>
    </row>
    <row r="44" spans="3:18" x14ac:dyDescent="0.25">
      <c r="C44" s="489" t="s">
        <v>216</v>
      </c>
      <c r="D44" s="490"/>
      <c r="E44" s="287">
        <f>E29+E30-E41</f>
        <v>0</v>
      </c>
      <c r="F44" s="287">
        <f>E44+F29+F30-F41</f>
        <v>0</v>
      </c>
      <c r="G44" s="287">
        <f>F44+G29+G30-G41</f>
        <v>0</v>
      </c>
      <c r="H44" s="287">
        <f>G44+H29+H30-H41</f>
        <v>0</v>
      </c>
      <c r="I44" s="287">
        <f t="shared" ref="I44:P44" si="10">H44+I29+I30-I41</f>
        <v>0</v>
      </c>
      <c r="J44" s="287">
        <f t="shared" si="10"/>
        <v>0</v>
      </c>
      <c r="K44" s="287">
        <f t="shared" si="10"/>
        <v>0</v>
      </c>
      <c r="L44" s="287">
        <f t="shared" si="10"/>
        <v>0</v>
      </c>
      <c r="M44" s="287">
        <f t="shared" si="10"/>
        <v>0</v>
      </c>
      <c r="N44" s="287">
        <f t="shared" si="10"/>
        <v>0</v>
      </c>
      <c r="O44" s="287">
        <f t="shared" si="10"/>
        <v>0</v>
      </c>
      <c r="P44" s="287">
        <f t="shared" si="10"/>
        <v>0</v>
      </c>
      <c r="Q44" s="284">
        <f>Q29+Q30-Q41</f>
        <v>0</v>
      </c>
      <c r="R44" s="4"/>
    </row>
    <row r="45" spans="3:18" ht="14.25" customHeight="1" x14ac:dyDescent="0.25">
      <c r="C45" s="4"/>
      <c r="D45" s="4"/>
      <c r="E45" s="4"/>
      <c r="F45" s="4"/>
      <c r="G45" s="4"/>
      <c r="H45" s="4"/>
      <c r="I45" s="4"/>
      <c r="J45" s="4"/>
      <c r="K45" s="4"/>
      <c r="L45" s="4"/>
      <c r="M45" s="4"/>
      <c r="N45" s="4"/>
      <c r="O45" s="4"/>
      <c r="P45" s="4"/>
      <c r="Q45" s="32"/>
      <c r="R45" s="4"/>
    </row>
    <row r="46" spans="3:18" ht="14.25" customHeight="1" x14ac:dyDescent="0.25">
      <c r="C46" s="4"/>
      <c r="D46" s="4"/>
      <c r="E46" s="4"/>
      <c r="F46" s="4"/>
      <c r="G46" s="4"/>
      <c r="H46" s="4"/>
      <c r="I46" s="4"/>
      <c r="J46" s="4"/>
      <c r="K46" s="4"/>
      <c r="L46" s="4"/>
      <c r="M46" s="4"/>
      <c r="N46" s="4"/>
      <c r="O46" s="4"/>
      <c r="P46" s="4"/>
      <c r="Q46" s="32"/>
      <c r="R46" s="4"/>
    </row>
    <row r="47" spans="3:18" ht="21" x14ac:dyDescent="0.25">
      <c r="C47" s="169">
        <f>C12+1</f>
        <v>2024</v>
      </c>
      <c r="D47" s="4"/>
      <c r="E47" s="143">
        <v>1</v>
      </c>
      <c r="F47" s="143">
        <v>2</v>
      </c>
      <c r="G47" s="143">
        <v>3</v>
      </c>
      <c r="H47" s="143">
        <v>4</v>
      </c>
      <c r="I47" s="143">
        <v>5</v>
      </c>
      <c r="J47" s="143">
        <v>6</v>
      </c>
      <c r="K47" s="143">
        <v>7</v>
      </c>
      <c r="L47" s="143">
        <v>8</v>
      </c>
      <c r="M47" s="143">
        <v>9</v>
      </c>
      <c r="N47" s="143">
        <v>10</v>
      </c>
      <c r="O47" s="143">
        <v>11</v>
      </c>
      <c r="P47" s="143">
        <v>12</v>
      </c>
      <c r="Q47" s="172"/>
    </row>
    <row r="48" spans="3:18" ht="14.25" customHeight="1" x14ac:dyDescent="0.25">
      <c r="C48" s="487" t="s">
        <v>6</v>
      </c>
      <c r="D48" s="488" t="s">
        <v>55</v>
      </c>
      <c r="E48" s="237" t="s">
        <v>181</v>
      </c>
      <c r="F48" s="237" t="s">
        <v>182</v>
      </c>
      <c r="G48" s="237" t="s">
        <v>183</v>
      </c>
      <c r="H48" s="237" t="s">
        <v>184</v>
      </c>
      <c r="I48" s="237" t="s">
        <v>185</v>
      </c>
      <c r="J48" s="237" t="s">
        <v>186</v>
      </c>
      <c r="K48" s="237" t="s">
        <v>187</v>
      </c>
      <c r="L48" s="237" t="s">
        <v>188</v>
      </c>
      <c r="M48" s="237" t="s">
        <v>189</v>
      </c>
      <c r="N48" s="237" t="s">
        <v>190</v>
      </c>
      <c r="O48" s="237" t="s">
        <v>191</v>
      </c>
      <c r="P48" s="237" t="s">
        <v>192</v>
      </c>
      <c r="Q48" s="303" t="s">
        <v>2</v>
      </c>
    </row>
    <row r="49" spans="3:17" ht="14.25" customHeight="1" x14ac:dyDescent="0.25">
      <c r="C49" s="489" t="s">
        <v>168</v>
      </c>
      <c r="D49" s="491"/>
      <c r="E49" s="283"/>
      <c r="F49" s="283"/>
      <c r="G49" s="283"/>
      <c r="H49" s="283"/>
      <c r="I49" s="283"/>
      <c r="J49" s="283"/>
      <c r="K49" s="283"/>
      <c r="L49" s="283"/>
      <c r="M49" s="283"/>
      <c r="N49" s="283"/>
      <c r="O49" s="283"/>
      <c r="P49" s="283"/>
      <c r="Q49" s="284">
        <f>SUM(E49:P49)</f>
        <v>0</v>
      </c>
    </row>
    <row r="50" spans="3:17" ht="14.25" customHeight="1" x14ac:dyDescent="0.25">
      <c r="C50" s="489" t="s">
        <v>166</v>
      </c>
      <c r="D50" s="491"/>
      <c r="E50" s="305"/>
      <c r="F50" s="292"/>
      <c r="G50" s="292"/>
      <c r="H50" s="292"/>
      <c r="I50" s="292"/>
      <c r="J50" s="292"/>
      <c r="K50" s="292"/>
      <c r="L50" s="292"/>
      <c r="M50" s="292"/>
      <c r="N50" s="292"/>
      <c r="O50" s="292"/>
      <c r="P50" s="292"/>
      <c r="Q50" s="306">
        <f>IF(Q49=0,0,Q52/Q49)</f>
        <v>0</v>
      </c>
    </row>
    <row r="51" spans="3:17" ht="14.25" customHeight="1" x14ac:dyDescent="0.25">
      <c r="C51" s="485" t="s">
        <v>157</v>
      </c>
      <c r="D51" s="486">
        <v>0.21</v>
      </c>
      <c r="E51" s="286">
        <f t="shared" ref="E51:P51" si="11">E52*$J$6</f>
        <v>0</v>
      </c>
      <c r="F51" s="286">
        <f t="shared" si="11"/>
        <v>0</v>
      </c>
      <c r="G51" s="286">
        <f t="shared" si="11"/>
        <v>0</v>
      </c>
      <c r="H51" s="286">
        <f t="shared" si="11"/>
        <v>0</v>
      </c>
      <c r="I51" s="286">
        <f t="shared" si="11"/>
        <v>0</v>
      </c>
      <c r="J51" s="286">
        <f t="shared" si="11"/>
        <v>0</v>
      </c>
      <c r="K51" s="286">
        <f t="shared" si="11"/>
        <v>0</v>
      </c>
      <c r="L51" s="286">
        <f t="shared" si="11"/>
        <v>0</v>
      </c>
      <c r="M51" s="286">
        <f t="shared" si="11"/>
        <v>0</v>
      </c>
      <c r="N51" s="286">
        <f t="shared" si="11"/>
        <v>0</v>
      </c>
      <c r="O51" s="286">
        <f t="shared" si="11"/>
        <v>0</v>
      </c>
      <c r="P51" s="286">
        <f t="shared" si="11"/>
        <v>0</v>
      </c>
      <c r="Q51" s="284">
        <f>SUM(E51:P51)</f>
        <v>0</v>
      </c>
    </row>
    <row r="52" spans="3:17" ht="14.25" customHeight="1" x14ac:dyDescent="0.25">
      <c r="C52" s="483" t="s">
        <v>203</v>
      </c>
      <c r="D52" s="484"/>
      <c r="E52" s="287">
        <f>E49*E50</f>
        <v>0</v>
      </c>
      <c r="F52" s="287">
        <f t="shared" ref="F52:P52" si="12">F49*F50</f>
        <v>0</v>
      </c>
      <c r="G52" s="287">
        <f t="shared" si="12"/>
        <v>0</v>
      </c>
      <c r="H52" s="287">
        <f t="shared" si="12"/>
        <v>0</v>
      </c>
      <c r="I52" s="287">
        <f t="shared" si="12"/>
        <v>0</v>
      </c>
      <c r="J52" s="287">
        <f t="shared" si="12"/>
        <v>0</v>
      </c>
      <c r="K52" s="287">
        <f t="shared" si="12"/>
        <v>0</v>
      </c>
      <c r="L52" s="287">
        <f t="shared" si="12"/>
        <v>0</v>
      </c>
      <c r="M52" s="287">
        <f t="shared" si="12"/>
        <v>0</v>
      </c>
      <c r="N52" s="287">
        <f t="shared" si="12"/>
        <v>0</v>
      </c>
      <c r="O52" s="287">
        <f t="shared" si="12"/>
        <v>0</v>
      </c>
      <c r="P52" s="287">
        <f t="shared" si="12"/>
        <v>0</v>
      </c>
      <c r="Q52" s="284">
        <f>SUM(E52:P52)</f>
        <v>0</v>
      </c>
    </row>
    <row r="53" spans="3:17" ht="14.25" customHeight="1" x14ac:dyDescent="0.25">
      <c r="C53" s="288"/>
      <c r="D53" s="289"/>
      <c r="E53" s="290"/>
      <c r="F53" s="290"/>
      <c r="G53" s="290"/>
      <c r="H53" s="290"/>
      <c r="I53" s="290"/>
      <c r="J53" s="290"/>
      <c r="K53" s="290"/>
      <c r="L53" s="290"/>
      <c r="M53" s="290"/>
      <c r="N53" s="290"/>
      <c r="O53" s="290"/>
      <c r="P53" s="290"/>
      <c r="Q53" s="291"/>
    </row>
    <row r="54" spans="3:17" ht="14.25" customHeight="1" x14ac:dyDescent="0.25">
      <c r="C54" s="489" t="s">
        <v>167</v>
      </c>
      <c r="D54" s="491"/>
      <c r="E54" s="283"/>
      <c r="F54" s="283"/>
      <c r="G54" s="283"/>
      <c r="H54" s="283"/>
      <c r="I54" s="283"/>
      <c r="J54" s="283"/>
      <c r="K54" s="283"/>
      <c r="L54" s="283"/>
      <c r="M54" s="283"/>
      <c r="N54" s="283"/>
      <c r="O54" s="283"/>
      <c r="P54" s="283"/>
      <c r="Q54" s="284">
        <f>SUM(E54:P54)</f>
        <v>0</v>
      </c>
    </row>
    <row r="55" spans="3:17" ht="14.25" customHeight="1" x14ac:dyDescent="0.25">
      <c r="C55" s="489" t="s">
        <v>169</v>
      </c>
      <c r="D55" s="491"/>
      <c r="E55" s="292"/>
      <c r="F55" s="292"/>
      <c r="G55" s="292"/>
      <c r="H55" s="292"/>
      <c r="I55" s="292"/>
      <c r="J55" s="292"/>
      <c r="K55" s="292"/>
      <c r="L55" s="292"/>
      <c r="M55" s="292"/>
      <c r="N55" s="292"/>
      <c r="O55" s="292"/>
      <c r="P55" s="292"/>
      <c r="Q55" s="306">
        <f>IF(Q54=0,0,Q57/Q54)</f>
        <v>0</v>
      </c>
    </row>
    <row r="56" spans="3:17" ht="14.25" customHeight="1" x14ac:dyDescent="0.25">
      <c r="C56" s="485" t="s">
        <v>157</v>
      </c>
      <c r="D56" s="486">
        <v>0.21</v>
      </c>
      <c r="E56" s="286">
        <f t="shared" ref="E56:P56" si="13">E57*$J$7</f>
        <v>0</v>
      </c>
      <c r="F56" s="286">
        <f t="shared" si="13"/>
        <v>0</v>
      </c>
      <c r="G56" s="286">
        <f t="shared" si="13"/>
        <v>0</v>
      </c>
      <c r="H56" s="286">
        <f t="shared" si="13"/>
        <v>0</v>
      </c>
      <c r="I56" s="286">
        <f t="shared" si="13"/>
        <v>0</v>
      </c>
      <c r="J56" s="286">
        <f t="shared" si="13"/>
        <v>0</v>
      </c>
      <c r="K56" s="286">
        <f t="shared" si="13"/>
        <v>0</v>
      </c>
      <c r="L56" s="286">
        <f t="shared" si="13"/>
        <v>0</v>
      </c>
      <c r="M56" s="286">
        <f t="shared" si="13"/>
        <v>0</v>
      </c>
      <c r="N56" s="286">
        <f t="shared" si="13"/>
        <v>0</v>
      </c>
      <c r="O56" s="286">
        <f t="shared" si="13"/>
        <v>0</v>
      </c>
      <c r="P56" s="286">
        <f t="shared" si="13"/>
        <v>0</v>
      </c>
      <c r="Q56" s="284">
        <f>SUM(E56:P56)</f>
        <v>0</v>
      </c>
    </row>
    <row r="57" spans="3:17" ht="14.25" customHeight="1" x14ac:dyDescent="0.25">
      <c r="C57" s="483" t="s">
        <v>204</v>
      </c>
      <c r="D57" s="484"/>
      <c r="E57" s="287">
        <f t="shared" ref="E57:P57" si="14">E54*E55</f>
        <v>0</v>
      </c>
      <c r="F57" s="287">
        <f t="shared" si="14"/>
        <v>0</v>
      </c>
      <c r="G57" s="287">
        <f t="shared" si="14"/>
        <v>0</v>
      </c>
      <c r="H57" s="287">
        <f t="shared" si="14"/>
        <v>0</v>
      </c>
      <c r="I57" s="287">
        <f t="shared" si="14"/>
        <v>0</v>
      </c>
      <c r="J57" s="287">
        <f t="shared" si="14"/>
        <v>0</v>
      </c>
      <c r="K57" s="287">
        <f t="shared" si="14"/>
        <v>0</v>
      </c>
      <c r="L57" s="287">
        <f t="shared" si="14"/>
        <v>0</v>
      </c>
      <c r="M57" s="287">
        <f t="shared" si="14"/>
        <v>0</v>
      </c>
      <c r="N57" s="287">
        <f t="shared" si="14"/>
        <v>0</v>
      </c>
      <c r="O57" s="287">
        <f t="shared" si="14"/>
        <v>0</v>
      </c>
      <c r="P57" s="287">
        <f t="shared" si="14"/>
        <v>0</v>
      </c>
      <c r="Q57" s="284">
        <f>SUM(E57:P57)</f>
        <v>0</v>
      </c>
    </row>
    <row r="58" spans="3:17" ht="14.25" customHeight="1" x14ac:dyDescent="0.25">
      <c r="C58" s="288"/>
      <c r="D58" s="289"/>
      <c r="E58" s="290"/>
      <c r="F58" s="290"/>
      <c r="G58" s="290"/>
      <c r="H58" s="290"/>
      <c r="I58" s="290"/>
      <c r="J58" s="290"/>
      <c r="K58" s="290"/>
      <c r="L58" s="290"/>
      <c r="M58" s="290"/>
      <c r="N58" s="290"/>
      <c r="O58" s="290"/>
      <c r="P58" s="290"/>
      <c r="Q58" s="291"/>
    </row>
    <row r="59" spans="3:17" ht="14.25" customHeight="1" x14ac:dyDescent="0.25">
      <c r="C59" s="489" t="s">
        <v>170</v>
      </c>
      <c r="D59" s="491"/>
      <c r="E59" s="283"/>
      <c r="F59" s="283"/>
      <c r="G59" s="283"/>
      <c r="H59" s="283"/>
      <c r="I59" s="283"/>
      <c r="J59" s="283"/>
      <c r="K59" s="283"/>
      <c r="L59" s="283"/>
      <c r="M59" s="283"/>
      <c r="N59" s="283"/>
      <c r="O59" s="283"/>
      <c r="P59" s="283"/>
      <c r="Q59" s="284">
        <f>SUM(E59:P59)</f>
        <v>0</v>
      </c>
    </row>
    <row r="60" spans="3:17" ht="14.25" customHeight="1" x14ac:dyDescent="0.25">
      <c r="C60" s="489" t="s">
        <v>171</v>
      </c>
      <c r="D60" s="491"/>
      <c r="E60" s="292"/>
      <c r="F60" s="292"/>
      <c r="G60" s="292"/>
      <c r="H60" s="292"/>
      <c r="I60" s="292"/>
      <c r="J60" s="292"/>
      <c r="K60" s="292"/>
      <c r="L60" s="292"/>
      <c r="M60" s="292"/>
      <c r="N60" s="292"/>
      <c r="O60" s="292"/>
      <c r="P60" s="292"/>
      <c r="Q60" s="306">
        <f>IF(Q59=0,0,Q62/Q59)</f>
        <v>0</v>
      </c>
    </row>
    <row r="61" spans="3:17" ht="14.25" customHeight="1" x14ac:dyDescent="0.25">
      <c r="C61" s="485" t="s">
        <v>157</v>
      </c>
      <c r="D61" s="486">
        <v>0.21</v>
      </c>
      <c r="E61" s="286">
        <f t="shared" ref="E61:P61" si="15">E62*$J$8</f>
        <v>0</v>
      </c>
      <c r="F61" s="286">
        <f t="shared" si="15"/>
        <v>0</v>
      </c>
      <c r="G61" s="286">
        <f t="shared" si="15"/>
        <v>0</v>
      </c>
      <c r="H61" s="286">
        <f t="shared" si="15"/>
        <v>0</v>
      </c>
      <c r="I61" s="286">
        <f t="shared" si="15"/>
        <v>0</v>
      </c>
      <c r="J61" s="286">
        <f t="shared" si="15"/>
        <v>0</v>
      </c>
      <c r="K61" s="286">
        <f t="shared" si="15"/>
        <v>0</v>
      </c>
      <c r="L61" s="286">
        <f t="shared" si="15"/>
        <v>0</v>
      </c>
      <c r="M61" s="286">
        <f t="shared" si="15"/>
        <v>0</v>
      </c>
      <c r="N61" s="286">
        <f t="shared" si="15"/>
        <v>0</v>
      </c>
      <c r="O61" s="286">
        <f t="shared" si="15"/>
        <v>0</v>
      </c>
      <c r="P61" s="286">
        <f t="shared" si="15"/>
        <v>0</v>
      </c>
      <c r="Q61" s="284">
        <f>SUM(E61:P61)</f>
        <v>0</v>
      </c>
    </row>
    <row r="62" spans="3:17" ht="14.25" customHeight="1" x14ac:dyDescent="0.25">
      <c r="C62" s="483" t="s">
        <v>206</v>
      </c>
      <c r="D62" s="484"/>
      <c r="E62" s="287">
        <f t="shared" ref="E62:P62" si="16">E59*E60</f>
        <v>0</v>
      </c>
      <c r="F62" s="287">
        <f t="shared" si="16"/>
        <v>0</v>
      </c>
      <c r="G62" s="287">
        <f t="shared" si="16"/>
        <v>0</v>
      </c>
      <c r="H62" s="287">
        <f t="shared" si="16"/>
        <v>0</v>
      </c>
      <c r="I62" s="287">
        <f t="shared" si="16"/>
        <v>0</v>
      </c>
      <c r="J62" s="287">
        <f t="shared" si="16"/>
        <v>0</v>
      </c>
      <c r="K62" s="287">
        <f t="shared" si="16"/>
        <v>0</v>
      </c>
      <c r="L62" s="287">
        <f t="shared" si="16"/>
        <v>0</v>
      </c>
      <c r="M62" s="287">
        <f t="shared" si="16"/>
        <v>0</v>
      </c>
      <c r="N62" s="287">
        <f t="shared" si="16"/>
        <v>0</v>
      </c>
      <c r="O62" s="287">
        <f t="shared" si="16"/>
        <v>0</v>
      </c>
      <c r="P62" s="287">
        <f t="shared" si="16"/>
        <v>0</v>
      </c>
      <c r="Q62" s="284">
        <f>SUM(E62:P62)</f>
        <v>0</v>
      </c>
    </row>
    <row r="63" spans="3:17" ht="14.25" customHeight="1" x14ac:dyDescent="0.25">
      <c r="C63" s="288"/>
      <c r="D63" s="289"/>
      <c r="E63" s="290"/>
      <c r="F63" s="290"/>
      <c r="G63" s="290"/>
      <c r="H63" s="290"/>
      <c r="I63" s="290"/>
      <c r="J63" s="290"/>
      <c r="K63" s="290"/>
      <c r="L63" s="290"/>
      <c r="M63" s="290"/>
      <c r="N63" s="290"/>
      <c r="O63" s="290"/>
      <c r="P63" s="290"/>
      <c r="Q63" s="291"/>
    </row>
    <row r="64" spans="3:17" ht="14.25" customHeight="1" x14ac:dyDescent="0.25">
      <c r="C64" s="483" t="s">
        <v>205</v>
      </c>
      <c r="D64" s="484"/>
      <c r="E64" s="293">
        <f t="shared" ref="E64:P64" si="17">+E52+E57+E62</f>
        <v>0</v>
      </c>
      <c r="F64" s="293">
        <f t="shared" si="17"/>
        <v>0</v>
      </c>
      <c r="G64" s="293">
        <f t="shared" si="17"/>
        <v>0</v>
      </c>
      <c r="H64" s="293">
        <f t="shared" si="17"/>
        <v>0</v>
      </c>
      <c r="I64" s="293">
        <f t="shared" si="17"/>
        <v>0</v>
      </c>
      <c r="J64" s="293">
        <f t="shared" si="17"/>
        <v>0</v>
      </c>
      <c r="K64" s="293">
        <f t="shared" si="17"/>
        <v>0</v>
      </c>
      <c r="L64" s="293">
        <f t="shared" si="17"/>
        <v>0</v>
      </c>
      <c r="M64" s="293">
        <f t="shared" si="17"/>
        <v>0</v>
      </c>
      <c r="N64" s="293">
        <f t="shared" si="17"/>
        <v>0</v>
      </c>
      <c r="O64" s="293">
        <f t="shared" si="17"/>
        <v>0</v>
      </c>
      <c r="P64" s="293">
        <f t="shared" si="17"/>
        <v>0</v>
      </c>
      <c r="Q64" s="294">
        <f>SUM(E64:P64)</f>
        <v>0</v>
      </c>
    </row>
    <row r="65" spans="3:18" ht="14.25" customHeight="1" x14ac:dyDescent="0.25">
      <c r="C65" s="483" t="s">
        <v>160</v>
      </c>
      <c r="D65" s="484"/>
      <c r="E65" s="293">
        <f t="shared" ref="E65:P65" si="18">+E51+E56+E61</f>
        <v>0</v>
      </c>
      <c r="F65" s="293">
        <f t="shared" si="18"/>
        <v>0</v>
      </c>
      <c r="G65" s="293">
        <f t="shared" si="18"/>
        <v>0</v>
      </c>
      <c r="H65" s="293">
        <f t="shared" si="18"/>
        <v>0</v>
      </c>
      <c r="I65" s="293">
        <f t="shared" si="18"/>
        <v>0</v>
      </c>
      <c r="J65" s="293">
        <f t="shared" si="18"/>
        <v>0</v>
      </c>
      <c r="K65" s="293">
        <f t="shared" si="18"/>
        <v>0</v>
      </c>
      <c r="L65" s="293">
        <f t="shared" si="18"/>
        <v>0</v>
      </c>
      <c r="M65" s="293">
        <f t="shared" si="18"/>
        <v>0</v>
      </c>
      <c r="N65" s="293">
        <f t="shared" si="18"/>
        <v>0</v>
      </c>
      <c r="O65" s="293">
        <f t="shared" si="18"/>
        <v>0</v>
      </c>
      <c r="P65" s="293">
        <f t="shared" si="18"/>
        <v>0</v>
      </c>
      <c r="Q65" s="294">
        <f>SUM(E65:P65)</f>
        <v>0</v>
      </c>
    </row>
    <row r="66" spans="3:18" ht="14.25" customHeight="1" x14ac:dyDescent="0.25">
      <c r="C66" s="4"/>
      <c r="D66" s="4"/>
      <c r="E66" s="4"/>
      <c r="F66" s="4"/>
      <c r="G66" s="4"/>
      <c r="H66" s="4"/>
      <c r="I66" s="4"/>
      <c r="J66" s="4"/>
      <c r="K66" s="4"/>
      <c r="L66" s="4"/>
      <c r="M66" s="4"/>
      <c r="N66" s="4"/>
      <c r="O66" s="4"/>
      <c r="P66" s="4"/>
      <c r="Q66" s="32"/>
    </row>
    <row r="67" spans="3:18" ht="30" x14ac:dyDescent="0.25">
      <c r="C67" s="496" t="s">
        <v>177</v>
      </c>
      <c r="D67" s="497"/>
      <c r="E67" s="307" t="s">
        <v>178</v>
      </c>
      <c r="F67" s="307" t="s">
        <v>176</v>
      </c>
      <c r="G67" s="307" t="s">
        <v>180</v>
      </c>
      <c r="H67" s="307" t="s">
        <v>219</v>
      </c>
      <c r="I67" s="308" t="s">
        <v>179</v>
      </c>
      <c r="J67" s="4"/>
      <c r="K67" s="4"/>
      <c r="L67" s="4"/>
      <c r="M67" s="4"/>
      <c r="N67" s="4"/>
      <c r="O67" s="4"/>
      <c r="P67" s="4"/>
      <c r="Q67" s="32"/>
    </row>
    <row r="68" spans="3:18" ht="14.25" customHeight="1" x14ac:dyDescent="0.25">
      <c r="C68" s="489" t="s">
        <v>172</v>
      </c>
      <c r="D68" s="491"/>
      <c r="E68" s="286">
        <f ca="1">Q49+IF(YEAR('Investering &amp; Financiering'!$E$51)=Inkoop!C47,IF(Inkoop!Q50=0,0,('Investering &amp; Financiering'!$D$18+'Investering &amp; Financiering'!$E$18)/Inkoop!Q50),0)</f>
        <v>0</v>
      </c>
      <c r="F68" s="286">
        <f>Verkoop!Q45</f>
        <v>0</v>
      </c>
      <c r="G68" s="286">
        <f ca="1">IF(G33+E68-F68&lt;0,0,G33+E68-F68)</f>
        <v>0</v>
      </c>
      <c r="H68" s="286">
        <f ca="1">G68*Q50</f>
        <v>0</v>
      </c>
      <c r="I68" s="284">
        <f>F68*Q50</f>
        <v>0</v>
      </c>
      <c r="J68" s="4"/>
      <c r="K68" s="4"/>
      <c r="L68" s="4"/>
      <c r="M68" s="4"/>
      <c r="N68" s="4"/>
      <c r="O68" s="4"/>
      <c r="P68" s="4"/>
      <c r="Q68" s="32"/>
    </row>
    <row r="69" spans="3:18" ht="14.25" customHeight="1" x14ac:dyDescent="0.25">
      <c r="C69" s="489" t="s">
        <v>173</v>
      </c>
      <c r="D69" s="491"/>
      <c r="E69" s="286">
        <f ca="1">Q54+IF(YEAR('Investering &amp; Financiering'!$E$51)=Inkoop!C47,IF(Inkoop!Q55=0,0,('Investering &amp; Financiering'!$D$19+'Investering &amp; Financiering'!$E$19)/Inkoop!Q55),0)</f>
        <v>0</v>
      </c>
      <c r="F69" s="286">
        <f>Verkoop!Q50</f>
        <v>0</v>
      </c>
      <c r="G69" s="286">
        <f ca="1">IF(G34+E69-F69&lt;0,0,G34+E69-F69)</f>
        <v>0</v>
      </c>
      <c r="H69" s="286">
        <f ca="1">G69*Q55</f>
        <v>0</v>
      </c>
      <c r="I69" s="284">
        <f>F69*Q55</f>
        <v>0</v>
      </c>
      <c r="J69" s="4"/>
      <c r="K69" s="4"/>
      <c r="L69" s="4"/>
      <c r="M69" s="4"/>
      <c r="N69" s="4"/>
      <c r="O69" s="4"/>
      <c r="P69" s="4"/>
      <c r="Q69" s="32"/>
    </row>
    <row r="70" spans="3:18" ht="14.25" customHeight="1" x14ac:dyDescent="0.25">
      <c r="C70" s="489" t="s">
        <v>174</v>
      </c>
      <c r="D70" s="491"/>
      <c r="E70" s="286">
        <f ca="1">Q59+IF(YEAR('Investering &amp; Financiering'!$E$51)=Inkoop!C47,IF(Inkoop!Q60=0,0,('Investering &amp; Financiering'!$D$20+'Investering &amp; Financiering'!$E$20)/Inkoop!Q60),0)</f>
        <v>0</v>
      </c>
      <c r="F70" s="286">
        <f>Verkoop!Q55</f>
        <v>0</v>
      </c>
      <c r="G70" s="286">
        <f ca="1">IF(G35+E70-F70&lt;0,0,G35+E70-F70)</f>
        <v>0</v>
      </c>
      <c r="H70" s="286">
        <f ca="1">G70*Q60</f>
        <v>0</v>
      </c>
      <c r="I70" s="284">
        <f>F70*Q60</f>
        <v>0</v>
      </c>
      <c r="J70" s="4"/>
      <c r="K70" s="4"/>
      <c r="L70" s="4"/>
      <c r="M70" s="4"/>
      <c r="N70" s="4"/>
      <c r="O70" s="4"/>
      <c r="P70" s="4"/>
      <c r="Q70" s="32"/>
    </row>
    <row r="71" spans="3:18" s="4" customFormat="1" ht="14.25" customHeight="1" x14ac:dyDescent="0.25">
      <c r="C71" s="1"/>
      <c r="E71" s="1"/>
      <c r="F71" s="1"/>
      <c r="H71" s="311">
        <f ca="1">SUM(H68:H70)</f>
        <v>0</v>
      </c>
      <c r="I71" s="294">
        <f>SUM(I68:I70)</f>
        <v>0</v>
      </c>
      <c r="Q71" s="32"/>
      <c r="R71" s="1"/>
    </row>
    <row r="72" spans="3:18" s="4" customFormat="1" ht="14.25" customHeight="1" x14ac:dyDescent="0.25">
      <c r="C72" s="1"/>
      <c r="D72" s="1"/>
      <c r="E72" s="1"/>
      <c r="F72" s="1"/>
      <c r="G72" s="1"/>
      <c r="H72" s="1"/>
      <c r="Q72" s="32"/>
      <c r="R72" s="1"/>
    </row>
    <row r="73" spans="3:18" s="4" customFormat="1" ht="14.25" customHeight="1" x14ac:dyDescent="0.25">
      <c r="C73" s="309" t="s">
        <v>332</v>
      </c>
      <c r="D73" s="310" t="s">
        <v>55</v>
      </c>
      <c r="E73" s="237" t="s">
        <v>181</v>
      </c>
      <c r="F73" s="237" t="s">
        <v>182</v>
      </c>
      <c r="G73" s="237" t="s">
        <v>183</v>
      </c>
      <c r="H73" s="237" t="s">
        <v>184</v>
      </c>
      <c r="I73" s="237" t="s">
        <v>185</v>
      </c>
      <c r="J73" s="237" t="s">
        <v>186</v>
      </c>
      <c r="K73" s="237" t="s">
        <v>187</v>
      </c>
      <c r="L73" s="237" t="s">
        <v>188</v>
      </c>
      <c r="M73" s="237" t="s">
        <v>189</v>
      </c>
      <c r="N73" s="237" t="s">
        <v>190</v>
      </c>
      <c r="O73" s="237" t="s">
        <v>191</v>
      </c>
      <c r="P73" s="237" t="s">
        <v>192</v>
      </c>
      <c r="Q73" s="303" t="s">
        <v>2</v>
      </c>
      <c r="R73" s="1"/>
    </row>
    <row r="74" spans="3:18" ht="14.25" customHeight="1" x14ac:dyDescent="0.25">
      <c r="C74" s="489" t="s">
        <v>175</v>
      </c>
      <c r="D74" s="490"/>
      <c r="E74" s="287">
        <f>(E64*$E$6)+(P29*$E$7)+(O29*$E$8)+(N29*$E$9)</f>
        <v>0</v>
      </c>
      <c r="F74" s="287">
        <f>(F64*$E$6)+(E64*$E$7)+(P29*$E$8)+(O29*$E$9)</f>
        <v>0</v>
      </c>
      <c r="G74" s="287">
        <f>(G64*$E$6)+(F64*$E$7)+(E64*$E$8)+(P29*$E$9)</f>
        <v>0</v>
      </c>
      <c r="H74" s="287">
        <f t="shared" ref="H74:P75" si="19">(H64*$E$6)+(G64*$E$7)+(F64*$E$8)+(E64*$E$9)</f>
        <v>0</v>
      </c>
      <c r="I74" s="287">
        <f t="shared" si="19"/>
        <v>0</v>
      </c>
      <c r="J74" s="287">
        <f t="shared" si="19"/>
        <v>0</v>
      </c>
      <c r="K74" s="287">
        <f t="shared" si="19"/>
        <v>0</v>
      </c>
      <c r="L74" s="287">
        <f t="shared" si="19"/>
        <v>0</v>
      </c>
      <c r="M74" s="287">
        <f t="shared" si="19"/>
        <v>0</v>
      </c>
      <c r="N74" s="287">
        <f t="shared" si="19"/>
        <v>0</v>
      </c>
      <c r="O74" s="287">
        <f t="shared" si="19"/>
        <v>0</v>
      </c>
      <c r="P74" s="287">
        <f t="shared" si="19"/>
        <v>0</v>
      </c>
      <c r="Q74" s="284">
        <f>SUM(E74:P74)</f>
        <v>0</v>
      </c>
    </row>
    <row r="75" spans="3:18" ht="14.25" customHeight="1" x14ac:dyDescent="0.25">
      <c r="C75" s="489" t="s">
        <v>162</v>
      </c>
      <c r="D75" s="490"/>
      <c r="E75" s="287">
        <f>(E65*$E$6)+(P30*$E$7)+(O30*$E$8)+(N30*$E$9)</f>
        <v>0</v>
      </c>
      <c r="F75" s="287">
        <f>(F65*$E$6)+(E65*$E$7)+(P30*$E$8)+(O30*$E$9)</f>
        <v>0</v>
      </c>
      <c r="G75" s="287">
        <f>(G65*$E$6)+(F65*$E$7)+(E65*$E$8)+(P30*$E$9)</f>
        <v>0</v>
      </c>
      <c r="H75" s="287">
        <f t="shared" si="19"/>
        <v>0</v>
      </c>
      <c r="I75" s="287">
        <f t="shared" si="19"/>
        <v>0</v>
      </c>
      <c r="J75" s="287">
        <f t="shared" si="19"/>
        <v>0</v>
      </c>
      <c r="K75" s="287">
        <f t="shared" si="19"/>
        <v>0</v>
      </c>
      <c r="L75" s="287">
        <f t="shared" si="19"/>
        <v>0</v>
      </c>
      <c r="M75" s="287">
        <f t="shared" si="19"/>
        <v>0</v>
      </c>
      <c r="N75" s="287">
        <f t="shared" si="19"/>
        <v>0</v>
      </c>
      <c r="O75" s="287">
        <f t="shared" si="19"/>
        <v>0</v>
      </c>
      <c r="P75" s="287">
        <f t="shared" si="19"/>
        <v>0</v>
      </c>
      <c r="Q75" s="284">
        <f>SUM(E75:P75)</f>
        <v>0</v>
      </c>
    </row>
    <row r="76" spans="3:18" x14ac:dyDescent="0.25">
      <c r="C76" s="483" t="s">
        <v>2</v>
      </c>
      <c r="D76" s="484"/>
      <c r="E76" s="300">
        <f>SUM(E74:E75)</f>
        <v>0</v>
      </c>
      <c r="F76" s="300">
        <f t="shared" ref="F76:O76" si="20">SUM(F74:F75)</f>
        <v>0</v>
      </c>
      <c r="G76" s="300">
        <f t="shared" si="20"/>
        <v>0</v>
      </c>
      <c r="H76" s="300">
        <f t="shared" si="20"/>
        <v>0</v>
      </c>
      <c r="I76" s="300">
        <f t="shared" si="20"/>
        <v>0</v>
      </c>
      <c r="J76" s="300">
        <f t="shared" si="20"/>
        <v>0</v>
      </c>
      <c r="K76" s="300">
        <f t="shared" si="20"/>
        <v>0</v>
      </c>
      <c r="L76" s="300">
        <f t="shared" si="20"/>
        <v>0</v>
      </c>
      <c r="M76" s="300">
        <f t="shared" si="20"/>
        <v>0</v>
      </c>
      <c r="N76" s="300">
        <f t="shared" si="20"/>
        <v>0</v>
      </c>
      <c r="O76" s="300">
        <f t="shared" si="20"/>
        <v>0</v>
      </c>
      <c r="P76" s="300">
        <f>SUM(P74:P75)</f>
        <v>0</v>
      </c>
      <c r="Q76" s="294">
        <f>SUM(E76:P76)</f>
        <v>0</v>
      </c>
    </row>
    <row r="77" spans="3:18" ht="14.25" customHeight="1" x14ac:dyDescent="0.25">
      <c r="C77" s="170"/>
      <c r="D77" s="19"/>
      <c r="E77" s="109"/>
      <c r="F77" s="109"/>
      <c r="G77" s="109"/>
      <c r="H77" s="109"/>
      <c r="I77" s="109"/>
      <c r="J77" s="109"/>
      <c r="K77" s="109"/>
      <c r="L77" s="109"/>
      <c r="M77" s="109"/>
      <c r="N77" s="109"/>
      <c r="O77" s="109"/>
      <c r="P77" s="109"/>
      <c r="Q77" s="109"/>
      <c r="R77" s="4"/>
    </row>
    <row r="78" spans="3:18" ht="14.25" customHeight="1" x14ac:dyDescent="0.25">
      <c r="C78" s="309" t="s">
        <v>52</v>
      </c>
      <c r="D78" s="310" t="s">
        <v>55</v>
      </c>
      <c r="E78" s="237" t="s">
        <v>181</v>
      </c>
      <c r="F78" s="237" t="s">
        <v>182</v>
      </c>
      <c r="G78" s="237" t="s">
        <v>183</v>
      </c>
      <c r="H78" s="237" t="s">
        <v>184</v>
      </c>
      <c r="I78" s="237" t="s">
        <v>185</v>
      </c>
      <c r="J78" s="237" t="s">
        <v>186</v>
      </c>
      <c r="K78" s="237" t="s">
        <v>187</v>
      </c>
      <c r="L78" s="237" t="s">
        <v>188</v>
      </c>
      <c r="M78" s="237" t="s">
        <v>189</v>
      </c>
      <c r="N78" s="237" t="s">
        <v>190</v>
      </c>
      <c r="O78" s="237" t="s">
        <v>191</v>
      </c>
      <c r="P78" s="237" t="s">
        <v>192</v>
      </c>
      <c r="Q78" s="303" t="s">
        <v>333</v>
      </c>
      <c r="R78" s="4"/>
    </row>
    <row r="79" spans="3:18" x14ac:dyDescent="0.25">
      <c r="C79" s="489" t="s">
        <v>216</v>
      </c>
      <c r="D79" s="490"/>
      <c r="E79" s="287">
        <f>P44+E64+E65-E76</f>
        <v>0</v>
      </c>
      <c r="F79" s="287">
        <f t="shared" ref="F79:P79" si="21">E79+F64+F65-F76</f>
        <v>0</v>
      </c>
      <c r="G79" s="287">
        <f t="shared" si="21"/>
        <v>0</v>
      </c>
      <c r="H79" s="287">
        <f t="shared" si="21"/>
        <v>0</v>
      </c>
      <c r="I79" s="287">
        <f t="shared" si="21"/>
        <v>0</v>
      </c>
      <c r="J79" s="287">
        <f t="shared" si="21"/>
        <v>0</v>
      </c>
      <c r="K79" s="287">
        <f t="shared" si="21"/>
        <v>0</v>
      </c>
      <c r="L79" s="287">
        <f t="shared" si="21"/>
        <v>0</v>
      </c>
      <c r="M79" s="287">
        <f t="shared" si="21"/>
        <v>0</v>
      </c>
      <c r="N79" s="287">
        <f t="shared" si="21"/>
        <v>0</v>
      </c>
      <c r="O79" s="287">
        <f t="shared" si="21"/>
        <v>0</v>
      </c>
      <c r="P79" s="287">
        <f t="shared" si="21"/>
        <v>0</v>
      </c>
      <c r="Q79" s="284">
        <f>Q64+Q65-Q76</f>
        <v>0</v>
      </c>
      <c r="R79" s="4"/>
    </row>
    <row r="80" spans="3:18" x14ac:dyDescent="0.25">
      <c r="I80" s="4"/>
      <c r="J80" s="4"/>
      <c r="K80" s="4"/>
      <c r="L80" s="4"/>
      <c r="M80" s="4"/>
      <c r="N80" s="4"/>
      <c r="O80" s="4"/>
      <c r="P80" s="4"/>
      <c r="Q80" s="32"/>
    </row>
    <row r="81" spans="3:17" x14ac:dyDescent="0.25">
      <c r="I81" s="4"/>
      <c r="J81" s="4"/>
      <c r="K81" s="4"/>
      <c r="L81" s="4"/>
      <c r="M81" s="4"/>
      <c r="N81" s="4"/>
      <c r="O81" s="4"/>
      <c r="P81" s="4"/>
      <c r="Q81" s="32"/>
    </row>
    <row r="82" spans="3:17" ht="21" x14ac:dyDescent="0.25">
      <c r="C82" s="169">
        <f>C47+1</f>
        <v>2025</v>
      </c>
      <c r="D82" s="4"/>
      <c r="E82" s="4"/>
      <c r="F82" s="4"/>
      <c r="G82" s="4"/>
      <c r="H82" s="4"/>
      <c r="I82" s="4"/>
      <c r="J82" s="4"/>
      <c r="K82" s="4"/>
      <c r="L82" s="4"/>
      <c r="M82" s="4"/>
      <c r="N82" s="4"/>
      <c r="O82" s="4"/>
      <c r="P82" s="4"/>
      <c r="Q82" s="32"/>
    </row>
    <row r="83" spans="3:17" x14ac:dyDescent="0.25">
      <c r="C83" s="487" t="s">
        <v>6</v>
      </c>
      <c r="D83" s="488" t="s">
        <v>55</v>
      </c>
      <c r="E83" s="237" t="s">
        <v>181</v>
      </c>
      <c r="F83" s="237" t="s">
        <v>182</v>
      </c>
      <c r="G83" s="237" t="s">
        <v>183</v>
      </c>
      <c r="H83" s="237" t="s">
        <v>184</v>
      </c>
      <c r="I83" s="237" t="s">
        <v>185</v>
      </c>
      <c r="J83" s="237" t="s">
        <v>186</v>
      </c>
      <c r="K83" s="237" t="s">
        <v>187</v>
      </c>
      <c r="L83" s="237" t="s">
        <v>188</v>
      </c>
      <c r="M83" s="237" t="s">
        <v>189</v>
      </c>
      <c r="N83" s="237" t="s">
        <v>190</v>
      </c>
      <c r="O83" s="237" t="s">
        <v>191</v>
      </c>
      <c r="P83" s="237" t="s">
        <v>192</v>
      </c>
      <c r="Q83" s="303" t="s">
        <v>2</v>
      </c>
    </row>
    <row r="84" spans="3:17" x14ac:dyDescent="0.25">
      <c r="C84" s="489" t="s">
        <v>168</v>
      </c>
      <c r="D84" s="491"/>
      <c r="E84" s="283"/>
      <c r="F84" s="283"/>
      <c r="G84" s="283"/>
      <c r="H84" s="283"/>
      <c r="I84" s="283"/>
      <c r="J84" s="283"/>
      <c r="K84" s="283"/>
      <c r="L84" s="283"/>
      <c r="M84" s="283"/>
      <c r="N84" s="283"/>
      <c r="O84" s="283"/>
      <c r="P84" s="283"/>
      <c r="Q84" s="284">
        <f>SUM(E84:P84)</f>
        <v>0</v>
      </c>
    </row>
    <row r="85" spans="3:17" x14ac:dyDescent="0.25">
      <c r="C85" s="489" t="s">
        <v>166</v>
      </c>
      <c r="D85" s="491"/>
      <c r="E85" s="305"/>
      <c r="F85" s="292"/>
      <c r="G85" s="292"/>
      <c r="H85" s="292"/>
      <c r="I85" s="292"/>
      <c r="J85" s="292"/>
      <c r="K85" s="292"/>
      <c r="L85" s="292"/>
      <c r="M85" s="292"/>
      <c r="N85" s="292"/>
      <c r="O85" s="292"/>
      <c r="P85" s="292"/>
      <c r="Q85" s="306">
        <f>IF(Q84=0,0,Q87/Q84)</f>
        <v>0</v>
      </c>
    </row>
    <row r="86" spans="3:17" x14ac:dyDescent="0.25">
      <c r="C86" s="485" t="s">
        <v>157</v>
      </c>
      <c r="D86" s="486">
        <v>0.21</v>
      </c>
      <c r="E86" s="286">
        <f>E87*$J$6</f>
        <v>0</v>
      </c>
      <c r="F86" s="286">
        <f t="shared" ref="F86:P86" si="22">F87*$J$6</f>
        <v>0</v>
      </c>
      <c r="G86" s="286">
        <f t="shared" si="22"/>
        <v>0</v>
      </c>
      <c r="H86" s="286">
        <f t="shared" si="22"/>
        <v>0</v>
      </c>
      <c r="I86" s="286">
        <f t="shared" si="22"/>
        <v>0</v>
      </c>
      <c r="J86" s="286">
        <f t="shared" si="22"/>
        <v>0</v>
      </c>
      <c r="K86" s="286">
        <f t="shared" si="22"/>
        <v>0</v>
      </c>
      <c r="L86" s="286">
        <f t="shared" si="22"/>
        <v>0</v>
      </c>
      <c r="M86" s="286">
        <f t="shared" si="22"/>
        <v>0</v>
      </c>
      <c r="N86" s="286">
        <f t="shared" si="22"/>
        <v>0</v>
      </c>
      <c r="O86" s="286">
        <f t="shared" si="22"/>
        <v>0</v>
      </c>
      <c r="P86" s="286">
        <f t="shared" si="22"/>
        <v>0</v>
      </c>
      <c r="Q86" s="284">
        <f>SUM(E86:P86)</f>
        <v>0</v>
      </c>
    </row>
    <row r="87" spans="3:17" x14ac:dyDescent="0.25">
      <c r="C87" s="483" t="s">
        <v>203</v>
      </c>
      <c r="D87" s="484"/>
      <c r="E87" s="287">
        <f>E84*E85</f>
        <v>0</v>
      </c>
      <c r="F87" s="287">
        <f t="shared" ref="F87:P87" si="23">F84*F85</f>
        <v>0</v>
      </c>
      <c r="G87" s="287">
        <f t="shared" si="23"/>
        <v>0</v>
      </c>
      <c r="H87" s="287">
        <f t="shared" si="23"/>
        <v>0</v>
      </c>
      <c r="I87" s="287">
        <f t="shared" si="23"/>
        <v>0</v>
      </c>
      <c r="J87" s="287">
        <f t="shared" si="23"/>
        <v>0</v>
      </c>
      <c r="K87" s="287">
        <f t="shared" si="23"/>
        <v>0</v>
      </c>
      <c r="L87" s="287">
        <f t="shared" si="23"/>
        <v>0</v>
      </c>
      <c r="M87" s="287">
        <f t="shared" si="23"/>
        <v>0</v>
      </c>
      <c r="N87" s="287">
        <f t="shared" si="23"/>
        <v>0</v>
      </c>
      <c r="O87" s="287">
        <f t="shared" si="23"/>
        <v>0</v>
      </c>
      <c r="P87" s="287">
        <f t="shared" si="23"/>
        <v>0</v>
      </c>
      <c r="Q87" s="284">
        <f>SUM(E87:P87)</f>
        <v>0</v>
      </c>
    </row>
    <row r="88" spans="3:17" x14ac:dyDescent="0.25">
      <c r="C88" s="288"/>
      <c r="D88" s="289"/>
      <c r="E88" s="290"/>
      <c r="F88" s="290"/>
      <c r="G88" s="290"/>
      <c r="H88" s="290"/>
      <c r="I88" s="290"/>
      <c r="J88" s="290"/>
      <c r="K88" s="290"/>
      <c r="L88" s="290"/>
      <c r="M88" s="290"/>
      <c r="N88" s="290"/>
      <c r="O88" s="290"/>
      <c r="P88" s="290"/>
      <c r="Q88" s="291"/>
    </row>
    <row r="89" spans="3:17" x14ac:dyDescent="0.25">
      <c r="C89" s="489" t="s">
        <v>167</v>
      </c>
      <c r="D89" s="491"/>
      <c r="E89" s="283"/>
      <c r="F89" s="283"/>
      <c r="G89" s="283"/>
      <c r="H89" s="283"/>
      <c r="I89" s="283"/>
      <c r="J89" s="283"/>
      <c r="K89" s="283"/>
      <c r="L89" s="283"/>
      <c r="M89" s="283"/>
      <c r="N89" s="283"/>
      <c r="O89" s="283"/>
      <c r="P89" s="283"/>
      <c r="Q89" s="284">
        <f>SUM(E89:P89)</f>
        <v>0</v>
      </c>
    </row>
    <row r="90" spans="3:17" x14ac:dyDescent="0.25">
      <c r="C90" s="489" t="s">
        <v>169</v>
      </c>
      <c r="D90" s="491"/>
      <c r="E90" s="292"/>
      <c r="F90" s="292"/>
      <c r="G90" s="292"/>
      <c r="H90" s="292"/>
      <c r="I90" s="292"/>
      <c r="J90" s="292"/>
      <c r="K90" s="292"/>
      <c r="L90" s="292"/>
      <c r="M90" s="292"/>
      <c r="N90" s="292"/>
      <c r="O90" s="292"/>
      <c r="P90" s="292"/>
      <c r="Q90" s="306">
        <f>IF(Q89=0,0,Q92/Q89)</f>
        <v>0</v>
      </c>
    </row>
    <row r="91" spans="3:17" x14ac:dyDescent="0.25">
      <c r="C91" s="485" t="s">
        <v>157</v>
      </c>
      <c r="D91" s="486">
        <v>0.21</v>
      </c>
      <c r="E91" s="286">
        <f t="shared" ref="E91:P91" si="24">E92*$J$7</f>
        <v>0</v>
      </c>
      <c r="F91" s="286">
        <f t="shared" si="24"/>
        <v>0</v>
      </c>
      <c r="G91" s="286">
        <f t="shared" si="24"/>
        <v>0</v>
      </c>
      <c r="H91" s="286">
        <f t="shared" si="24"/>
        <v>0</v>
      </c>
      <c r="I91" s="286">
        <f t="shared" si="24"/>
        <v>0</v>
      </c>
      <c r="J91" s="286">
        <f t="shared" si="24"/>
        <v>0</v>
      </c>
      <c r="K91" s="286">
        <f t="shared" si="24"/>
        <v>0</v>
      </c>
      <c r="L91" s="286">
        <f t="shared" si="24"/>
        <v>0</v>
      </c>
      <c r="M91" s="286">
        <f t="shared" si="24"/>
        <v>0</v>
      </c>
      <c r="N91" s="286">
        <f t="shared" si="24"/>
        <v>0</v>
      </c>
      <c r="O91" s="286">
        <f t="shared" si="24"/>
        <v>0</v>
      </c>
      <c r="P91" s="286">
        <f t="shared" si="24"/>
        <v>0</v>
      </c>
      <c r="Q91" s="284">
        <f>SUM(E91:P91)</f>
        <v>0</v>
      </c>
    </row>
    <row r="92" spans="3:17" x14ac:dyDescent="0.25">
      <c r="C92" s="483" t="s">
        <v>204</v>
      </c>
      <c r="D92" s="484"/>
      <c r="E92" s="287">
        <f t="shared" ref="E92:P92" si="25">E89*E90</f>
        <v>0</v>
      </c>
      <c r="F92" s="287">
        <f t="shared" si="25"/>
        <v>0</v>
      </c>
      <c r="G92" s="287">
        <f t="shared" si="25"/>
        <v>0</v>
      </c>
      <c r="H92" s="287">
        <f t="shared" si="25"/>
        <v>0</v>
      </c>
      <c r="I92" s="287">
        <f t="shared" si="25"/>
        <v>0</v>
      </c>
      <c r="J92" s="287">
        <f t="shared" si="25"/>
        <v>0</v>
      </c>
      <c r="K92" s="287">
        <f t="shared" si="25"/>
        <v>0</v>
      </c>
      <c r="L92" s="287">
        <f t="shared" si="25"/>
        <v>0</v>
      </c>
      <c r="M92" s="287">
        <f t="shared" si="25"/>
        <v>0</v>
      </c>
      <c r="N92" s="287">
        <f t="shared" si="25"/>
        <v>0</v>
      </c>
      <c r="O92" s="287">
        <f t="shared" si="25"/>
        <v>0</v>
      </c>
      <c r="P92" s="287">
        <f t="shared" si="25"/>
        <v>0</v>
      </c>
      <c r="Q92" s="284">
        <f>SUM(E92:P92)</f>
        <v>0</v>
      </c>
    </row>
    <row r="93" spans="3:17" x14ac:dyDescent="0.25">
      <c r="C93" s="288"/>
      <c r="D93" s="289"/>
      <c r="E93" s="290"/>
      <c r="F93" s="290"/>
      <c r="G93" s="290"/>
      <c r="H93" s="290"/>
      <c r="I93" s="290"/>
      <c r="J93" s="290"/>
      <c r="K93" s="290"/>
      <c r="L93" s="290"/>
      <c r="M93" s="290"/>
      <c r="N93" s="290"/>
      <c r="O93" s="290"/>
      <c r="P93" s="290"/>
      <c r="Q93" s="291"/>
    </row>
    <row r="94" spans="3:17" x14ac:dyDescent="0.25">
      <c r="C94" s="489" t="s">
        <v>170</v>
      </c>
      <c r="D94" s="491"/>
      <c r="E94" s="283"/>
      <c r="F94" s="283"/>
      <c r="G94" s="283"/>
      <c r="H94" s="283"/>
      <c r="I94" s="283"/>
      <c r="J94" s="283"/>
      <c r="K94" s="283"/>
      <c r="L94" s="283"/>
      <c r="M94" s="283"/>
      <c r="N94" s="283"/>
      <c r="O94" s="283"/>
      <c r="P94" s="283"/>
      <c r="Q94" s="284">
        <f>SUM(E94:P94)</f>
        <v>0</v>
      </c>
    </row>
    <row r="95" spans="3:17" x14ac:dyDescent="0.25">
      <c r="C95" s="489" t="s">
        <v>171</v>
      </c>
      <c r="D95" s="491"/>
      <c r="E95" s="292"/>
      <c r="F95" s="292"/>
      <c r="G95" s="292"/>
      <c r="H95" s="292"/>
      <c r="I95" s="292"/>
      <c r="J95" s="292"/>
      <c r="K95" s="292"/>
      <c r="L95" s="292"/>
      <c r="M95" s="292"/>
      <c r="N95" s="292"/>
      <c r="O95" s="292"/>
      <c r="P95" s="292"/>
      <c r="Q95" s="306">
        <f>IF(Q94=0,0,Q97/Q94)</f>
        <v>0</v>
      </c>
    </row>
    <row r="96" spans="3:17" x14ac:dyDescent="0.25">
      <c r="C96" s="485" t="s">
        <v>157</v>
      </c>
      <c r="D96" s="486">
        <v>0.21</v>
      </c>
      <c r="E96" s="286">
        <f t="shared" ref="E96:P96" si="26">E97*$J$8</f>
        <v>0</v>
      </c>
      <c r="F96" s="286">
        <f t="shared" si="26"/>
        <v>0</v>
      </c>
      <c r="G96" s="286">
        <f t="shared" si="26"/>
        <v>0</v>
      </c>
      <c r="H96" s="286">
        <f t="shared" si="26"/>
        <v>0</v>
      </c>
      <c r="I96" s="286">
        <f t="shared" si="26"/>
        <v>0</v>
      </c>
      <c r="J96" s="286">
        <f t="shared" si="26"/>
        <v>0</v>
      </c>
      <c r="K96" s="286">
        <f t="shared" si="26"/>
        <v>0</v>
      </c>
      <c r="L96" s="286">
        <f t="shared" si="26"/>
        <v>0</v>
      </c>
      <c r="M96" s="286">
        <f t="shared" si="26"/>
        <v>0</v>
      </c>
      <c r="N96" s="286">
        <f t="shared" si="26"/>
        <v>0</v>
      </c>
      <c r="O96" s="286">
        <f t="shared" si="26"/>
        <v>0</v>
      </c>
      <c r="P96" s="286">
        <f t="shared" si="26"/>
        <v>0</v>
      </c>
      <c r="Q96" s="284">
        <f>SUM(E96:P96)</f>
        <v>0</v>
      </c>
    </row>
    <row r="97" spans="3:19" x14ac:dyDescent="0.25">
      <c r="C97" s="483" t="s">
        <v>206</v>
      </c>
      <c r="D97" s="484"/>
      <c r="E97" s="287">
        <f t="shared" ref="E97:P97" si="27">E94*E95</f>
        <v>0</v>
      </c>
      <c r="F97" s="287">
        <f t="shared" si="27"/>
        <v>0</v>
      </c>
      <c r="G97" s="287">
        <f t="shared" si="27"/>
        <v>0</v>
      </c>
      <c r="H97" s="287">
        <f t="shared" si="27"/>
        <v>0</v>
      </c>
      <c r="I97" s="287">
        <f t="shared" si="27"/>
        <v>0</v>
      </c>
      <c r="J97" s="287">
        <f t="shared" si="27"/>
        <v>0</v>
      </c>
      <c r="K97" s="287">
        <f t="shared" si="27"/>
        <v>0</v>
      </c>
      <c r="L97" s="287">
        <f t="shared" si="27"/>
        <v>0</v>
      </c>
      <c r="M97" s="287">
        <f t="shared" si="27"/>
        <v>0</v>
      </c>
      <c r="N97" s="287">
        <f t="shared" si="27"/>
        <v>0</v>
      </c>
      <c r="O97" s="287">
        <f t="shared" si="27"/>
        <v>0</v>
      </c>
      <c r="P97" s="287">
        <f t="shared" si="27"/>
        <v>0</v>
      </c>
      <c r="Q97" s="284">
        <f>SUM(E97:P97)</f>
        <v>0</v>
      </c>
    </row>
    <row r="98" spans="3:19" x14ac:dyDescent="0.25">
      <c r="C98" s="288"/>
      <c r="D98" s="289"/>
      <c r="E98" s="290"/>
      <c r="F98" s="290"/>
      <c r="G98" s="290"/>
      <c r="H98" s="290"/>
      <c r="I98" s="290"/>
      <c r="J98" s="290"/>
      <c r="K98" s="290"/>
      <c r="L98" s="290"/>
      <c r="M98" s="290"/>
      <c r="N98" s="290"/>
      <c r="O98" s="290"/>
      <c r="P98" s="290"/>
      <c r="Q98" s="291"/>
    </row>
    <row r="99" spans="3:19" x14ac:dyDescent="0.25">
      <c r="C99" s="483" t="s">
        <v>205</v>
      </c>
      <c r="D99" s="484"/>
      <c r="E99" s="293">
        <f t="shared" ref="E99:P99" si="28">+E87+E92+E97</f>
        <v>0</v>
      </c>
      <c r="F99" s="293">
        <f t="shared" si="28"/>
        <v>0</v>
      </c>
      <c r="G99" s="293">
        <f t="shared" si="28"/>
        <v>0</v>
      </c>
      <c r="H99" s="293">
        <f t="shared" si="28"/>
        <v>0</v>
      </c>
      <c r="I99" s="293">
        <f t="shared" si="28"/>
        <v>0</v>
      </c>
      <c r="J99" s="293">
        <f t="shared" si="28"/>
        <v>0</v>
      </c>
      <c r="K99" s="293">
        <f t="shared" si="28"/>
        <v>0</v>
      </c>
      <c r="L99" s="293">
        <f t="shared" si="28"/>
        <v>0</v>
      </c>
      <c r="M99" s="293">
        <f t="shared" si="28"/>
        <v>0</v>
      </c>
      <c r="N99" s="293">
        <f t="shared" si="28"/>
        <v>0</v>
      </c>
      <c r="O99" s="293">
        <f t="shared" si="28"/>
        <v>0</v>
      </c>
      <c r="P99" s="293">
        <f t="shared" si="28"/>
        <v>0</v>
      </c>
      <c r="Q99" s="294">
        <f>SUM(E99:P99)</f>
        <v>0</v>
      </c>
    </row>
    <row r="100" spans="3:19" x14ac:dyDescent="0.25">
      <c r="C100" s="483" t="s">
        <v>160</v>
      </c>
      <c r="D100" s="484"/>
      <c r="E100" s="293">
        <f t="shared" ref="E100:P100" si="29">+E86+E91+E96</f>
        <v>0</v>
      </c>
      <c r="F100" s="293">
        <f t="shared" si="29"/>
        <v>0</v>
      </c>
      <c r="G100" s="293">
        <f t="shared" si="29"/>
        <v>0</v>
      </c>
      <c r="H100" s="293">
        <f t="shared" si="29"/>
        <v>0</v>
      </c>
      <c r="I100" s="293">
        <f t="shared" si="29"/>
        <v>0</v>
      </c>
      <c r="J100" s="293">
        <f t="shared" si="29"/>
        <v>0</v>
      </c>
      <c r="K100" s="293">
        <f t="shared" si="29"/>
        <v>0</v>
      </c>
      <c r="L100" s="293">
        <f t="shared" si="29"/>
        <v>0</v>
      </c>
      <c r="M100" s="293">
        <f t="shared" si="29"/>
        <v>0</v>
      </c>
      <c r="N100" s="293">
        <f t="shared" si="29"/>
        <v>0</v>
      </c>
      <c r="O100" s="293">
        <f t="shared" si="29"/>
        <v>0</v>
      </c>
      <c r="P100" s="293">
        <f t="shared" si="29"/>
        <v>0</v>
      </c>
      <c r="Q100" s="294">
        <f>SUM(E100:P100)</f>
        <v>0</v>
      </c>
    </row>
    <row r="101" spans="3:19" x14ac:dyDescent="0.25">
      <c r="C101" s="4"/>
      <c r="D101" s="4"/>
      <c r="E101" s="4"/>
      <c r="F101" s="4"/>
      <c r="G101" s="4"/>
      <c r="H101" s="4"/>
      <c r="I101" s="4"/>
      <c r="J101" s="4"/>
      <c r="K101" s="4"/>
      <c r="L101" s="4"/>
      <c r="M101" s="4"/>
      <c r="N101" s="4"/>
      <c r="O101" s="4"/>
      <c r="P101" s="4"/>
      <c r="Q101" s="32"/>
    </row>
    <row r="102" spans="3:19" ht="30" x14ac:dyDescent="0.25">
      <c r="C102" s="496" t="s">
        <v>177</v>
      </c>
      <c r="D102" s="497"/>
      <c r="E102" s="307" t="s">
        <v>178</v>
      </c>
      <c r="F102" s="307" t="s">
        <v>176</v>
      </c>
      <c r="G102" s="307" t="s">
        <v>180</v>
      </c>
      <c r="H102" s="307" t="s">
        <v>219</v>
      </c>
      <c r="I102" s="308" t="s">
        <v>179</v>
      </c>
      <c r="J102" s="4"/>
      <c r="K102" s="4"/>
      <c r="L102" s="4"/>
      <c r="M102" s="4"/>
      <c r="N102" s="4"/>
      <c r="O102" s="4"/>
      <c r="P102" s="4"/>
      <c r="Q102" s="32"/>
    </row>
    <row r="103" spans="3:19" s="4" customFormat="1" ht="14.25" customHeight="1" x14ac:dyDescent="0.25">
      <c r="C103" s="489" t="s">
        <v>172</v>
      </c>
      <c r="D103" s="491"/>
      <c r="E103" s="286">
        <f ca="1">Q84+IF(YEAR('Investering &amp; Financiering'!$E$51)=Inkoop!C82,IF(Inkoop!Q85=0,0,('Investering &amp; Financiering'!$D$18+'Investering &amp; Financiering'!$E$18)/Inkoop!Q85),0)</f>
        <v>0</v>
      </c>
      <c r="F103" s="286">
        <f>Verkoop!Q75</f>
        <v>0</v>
      </c>
      <c r="G103" s="286">
        <f ca="1">IF(G68+E103-F103&lt;0,0,G68+E103-F103)</f>
        <v>0</v>
      </c>
      <c r="H103" s="286">
        <f ca="1">G103*Q85</f>
        <v>0</v>
      </c>
      <c r="I103" s="284">
        <f>F103*Q85</f>
        <v>0</v>
      </c>
      <c r="Q103" s="32"/>
      <c r="R103" s="1"/>
    </row>
    <row r="104" spans="3:19" s="4" customFormat="1" ht="14.25" customHeight="1" x14ac:dyDescent="0.25">
      <c r="C104" s="489" t="s">
        <v>173</v>
      </c>
      <c r="D104" s="491"/>
      <c r="E104" s="286">
        <f ca="1">Q89+IF(YEAR('Investering &amp; Financiering'!$E$51)=Inkoop!C82,IF(Inkoop!Q90=0,0,('Investering &amp; Financiering'!$D$19+'Investering &amp; Financiering'!$E$19)/Inkoop!Q90),0)</f>
        <v>0</v>
      </c>
      <c r="F104" s="286">
        <f>Verkoop!Q80</f>
        <v>0</v>
      </c>
      <c r="G104" s="286">
        <f ca="1">IF(G69+E104-F104&lt;0,0,G69+E104-F104)</f>
        <v>0</v>
      </c>
      <c r="H104" s="286">
        <f ca="1">G104*Q90</f>
        <v>0</v>
      </c>
      <c r="I104" s="284">
        <f>F104*Q90</f>
        <v>0</v>
      </c>
      <c r="Q104" s="32"/>
      <c r="R104" s="1"/>
    </row>
    <row r="105" spans="3:19" s="4" customFormat="1" ht="14.25" customHeight="1" x14ac:dyDescent="0.25">
      <c r="C105" s="489" t="s">
        <v>174</v>
      </c>
      <c r="D105" s="491"/>
      <c r="E105" s="286">
        <f ca="1">Q94+IF(YEAR('Investering &amp; Financiering'!$E$51)=Inkoop!C82,IF(Inkoop!Q95=0,0,('Investering &amp; Financiering'!$D$20+'Investering &amp; Financiering'!$E$20)/Inkoop!Q95),0)</f>
        <v>0</v>
      </c>
      <c r="F105" s="286">
        <f>Verkoop!Q85</f>
        <v>0</v>
      </c>
      <c r="G105" s="286">
        <f ca="1">IF(G70+E105-F105&lt;0,0,G70+E105-F105)</f>
        <v>0</v>
      </c>
      <c r="H105" s="286">
        <f ca="1">G105*Q95</f>
        <v>0</v>
      </c>
      <c r="I105" s="284">
        <f>F105*Q95</f>
        <v>0</v>
      </c>
      <c r="Q105" s="32"/>
      <c r="R105" s="1"/>
    </row>
    <row r="106" spans="3:19" x14ac:dyDescent="0.25">
      <c r="D106" s="4"/>
      <c r="G106" s="4"/>
      <c r="H106" s="311">
        <f ca="1">SUM(H103:H105)</f>
        <v>0</v>
      </c>
      <c r="I106" s="294">
        <f>SUM(I103:I105)</f>
        <v>0</v>
      </c>
      <c r="J106" s="4"/>
      <c r="K106" s="4"/>
      <c r="L106" s="4"/>
      <c r="M106" s="4"/>
      <c r="N106" s="4"/>
      <c r="O106" s="4"/>
      <c r="P106" s="4"/>
      <c r="Q106" s="32"/>
    </row>
    <row r="107" spans="3:19" x14ac:dyDescent="0.25">
      <c r="I107" s="4"/>
      <c r="J107" s="4"/>
      <c r="K107" s="4"/>
      <c r="L107" s="4"/>
      <c r="M107" s="4"/>
      <c r="N107" s="4"/>
      <c r="O107" s="4"/>
      <c r="P107" s="4"/>
      <c r="Q107" s="32"/>
    </row>
    <row r="108" spans="3:19" x14ac:dyDescent="0.25">
      <c r="C108" s="309" t="s">
        <v>332</v>
      </c>
      <c r="D108" s="310" t="s">
        <v>55</v>
      </c>
      <c r="E108" s="237" t="s">
        <v>181</v>
      </c>
      <c r="F108" s="237" t="s">
        <v>182</v>
      </c>
      <c r="G108" s="237" t="s">
        <v>183</v>
      </c>
      <c r="H108" s="237" t="s">
        <v>184</v>
      </c>
      <c r="I108" s="237" t="s">
        <v>185</v>
      </c>
      <c r="J108" s="237" t="s">
        <v>186</v>
      </c>
      <c r="K108" s="237" t="s">
        <v>187</v>
      </c>
      <c r="L108" s="237" t="s">
        <v>188</v>
      </c>
      <c r="M108" s="237" t="s">
        <v>189</v>
      </c>
      <c r="N108" s="237" t="s">
        <v>190</v>
      </c>
      <c r="O108" s="237" t="s">
        <v>191</v>
      </c>
      <c r="P108" s="237" t="s">
        <v>192</v>
      </c>
      <c r="Q108" s="303" t="s">
        <v>2</v>
      </c>
      <c r="S108" s="4"/>
    </row>
    <row r="109" spans="3:19" x14ac:dyDescent="0.25">
      <c r="C109" s="489" t="s">
        <v>175</v>
      </c>
      <c r="D109" s="490"/>
      <c r="E109" s="287">
        <f>(E99*$E$6)+(P64*$E$7)+(O64*$E$8)+(N64*$E$9)</f>
        <v>0</v>
      </c>
      <c r="F109" s="287">
        <f>(F99*$E$6)+(E99*$E$7)+(P64*$E$8)+(O64*$E$9)</f>
        <v>0</v>
      </c>
      <c r="G109" s="287">
        <f>(G99*$E$6)+(F99*$E$7)+(E99*$E$8)+(P64*$E$9)</f>
        <v>0</v>
      </c>
      <c r="H109" s="287">
        <f>(H99*$E$6)+(G99*$E$7)+(F99*$E$8)+(E99*$E$9)</f>
        <v>0</v>
      </c>
      <c r="I109" s="287">
        <f t="shared" ref="H109:P110" si="30">(I99*$E$6)+(H99*$E$7)+(G99*$E$8)+(F99*$E$9)</f>
        <v>0</v>
      </c>
      <c r="J109" s="287">
        <f t="shared" si="30"/>
        <v>0</v>
      </c>
      <c r="K109" s="287">
        <f t="shared" si="30"/>
        <v>0</v>
      </c>
      <c r="L109" s="287">
        <f t="shared" si="30"/>
        <v>0</v>
      </c>
      <c r="M109" s="287">
        <f t="shared" si="30"/>
        <v>0</v>
      </c>
      <c r="N109" s="287">
        <f t="shared" si="30"/>
        <v>0</v>
      </c>
      <c r="O109" s="287">
        <f t="shared" si="30"/>
        <v>0</v>
      </c>
      <c r="P109" s="287">
        <f t="shared" si="30"/>
        <v>0</v>
      </c>
      <c r="Q109" s="284">
        <f>SUM(E109:P109)</f>
        <v>0</v>
      </c>
    </row>
    <row r="110" spans="3:19" x14ac:dyDescent="0.25">
      <c r="C110" s="489" t="s">
        <v>162</v>
      </c>
      <c r="D110" s="490"/>
      <c r="E110" s="287">
        <f>(E100*$E$6)+(P65*$E$7)+(O65*$E$8)+(N65*$E$9)</f>
        <v>0</v>
      </c>
      <c r="F110" s="287">
        <f>(F100*$E$6)+(E100*$E$7)+(P65*$E$8)+(O65*$E$9)</f>
        <v>0</v>
      </c>
      <c r="G110" s="287">
        <f>(G100*$E$6)+(F100*$E$7)+(E100*$E$8)+(P65*$E$9)</f>
        <v>0</v>
      </c>
      <c r="H110" s="287">
        <f t="shared" si="30"/>
        <v>0</v>
      </c>
      <c r="I110" s="287">
        <f t="shared" si="30"/>
        <v>0</v>
      </c>
      <c r="J110" s="287">
        <f t="shared" si="30"/>
        <v>0</v>
      </c>
      <c r="K110" s="287">
        <f t="shared" si="30"/>
        <v>0</v>
      </c>
      <c r="L110" s="287">
        <f t="shared" si="30"/>
        <v>0</v>
      </c>
      <c r="M110" s="287">
        <f t="shared" si="30"/>
        <v>0</v>
      </c>
      <c r="N110" s="287">
        <f t="shared" si="30"/>
        <v>0</v>
      </c>
      <c r="O110" s="287">
        <f t="shared" si="30"/>
        <v>0</v>
      </c>
      <c r="P110" s="287">
        <f t="shared" si="30"/>
        <v>0</v>
      </c>
      <c r="Q110" s="284">
        <f>SUM(E110:P110)</f>
        <v>0</v>
      </c>
    </row>
    <row r="111" spans="3:19" x14ac:dyDescent="0.25">
      <c r="C111" s="483" t="s">
        <v>2</v>
      </c>
      <c r="D111" s="484"/>
      <c r="E111" s="300">
        <f>SUM(E109:E110)</f>
        <v>0</v>
      </c>
      <c r="F111" s="300">
        <f t="shared" ref="F111:O111" si="31">SUM(F109:F110)</f>
        <v>0</v>
      </c>
      <c r="G111" s="300">
        <f t="shared" si="31"/>
        <v>0</v>
      </c>
      <c r="H111" s="300">
        <f t="shared" si="31"/>
        <v>0</v>
      </c>
      <c r="I111" s="300">
        <f t="shared" si="31"/>
        <v>0</v>
      </c>
      <c r="J111" s="300">
        <f t="shared" si="31"/>
        <v>0</v>
      </c>
      <c r="K111" s="300">
        <f t="shared" si="31"/>
        <v>0</v>
      </c>
      <c r="L111" s="300">
        <f t="shared" si="31"/>
        <v>0</v>
      </c>
      <c r="M111" s="300">
        <f t="shared" si="31"/>
        <v>0</v>
      </c>
      <c r="N111" s="300">
        <f t="shared" si="31"/>
        <v>0</v>
      </c>
      <c r="O111" s="300">
        <f t="shared" si="31"/>
        <v>0</v>
      </c>
      <c r="P111" s="300">
        <f>SUM(P109:P110)</f>
        <v>0</v>
      </c>
      <c r="Q111" s="294">
        <f>SUM(E111:P111)</f>
        <v>0</v>
      </c>
    </row>
    <row r="112" spans="3:19" x14ac:dyDescent="0.25">
      <c r="C112" s="170"/>
      <c r="D112" s="19"/>
      <c r="E112" s="109"/>
      <c r="F112" s="109"/>
      <c r="G112" s="109"/>
      <c r="H112" s="109"/>
      <c r="I112" s="109"/>
      <c r="J112" s="109"/>
      <c r="K112" s="109"/>
      <c r="L112" s="109"/>
      <c r="M112" s="109"/>
      <c r="N112" s="109"/>
      <c r="O112" s="109"/>
      <c r="P112" s="109"/>
      <c r="Q112" s="109"/>
      <c r="R112" s="4"/>
    </row>
    <row r="113" spans="3:18" x14ac:dyDescent="0.25">
      <c r="C113" s="309" t="s">
        <v>52</v>
      </c>
      <c r="D113" s="310" t="s">
        <v>55</v>
      </c>
      <c r="E113" s="237" t="s">
        <v>181</v>
      </c>
      <c r="F113" s="237" t="s">
        <v>182</v>
      </c>
      <c r="G113" s="237" t="s">
        <v>183</v>
      </c>
      <c r="H113" s="237" t="s">
        <v>184</v>
      </c>
      <c r="I113" s="237" t="s">
        <v>185</v>
      </c>
      <c r="J113" s="237" t="s">
        <v>186</v>
      </c>
      <c r="K113" s="237" t="s">
        <v>187</v>
      </c>
      <c r="L113" s="237" t="s">
        <v>188</v>
      </c>
      <c r="M113" s="237" t="s">
        <v>189</v>
      </c>
      <c r="N113" s="237" t="s">
        <v>190</v>
      </c>
      <c r="O113" s="237" t="s">
        <v>191</v>
      </c>
      <c r="P113" s="237" t="s">
        <v>192</v>
      </c>
      <c r="Q113" s="303" t="s">
        <v>333</v>
      </c>
      <c r="R113" s="4"/>
    </row>
    <row r="114" spans="3:18" x14ac:dyDescent="0.25">
      <c r="C114" s="489" t="s">
        <v>216</v>
      </c>
      <c r="D114" s="490"/>
      <c r="E114" s="287">
        <f>P79+E99+E100-E111</f>
        <v>0</v>
      </c>
      <c r="F114" s="287">
        <f t="shared" ref="F114:P114" si="32">E114+F99+F100-F111</f>
        <v>0</v>
      </c>
      <c r="G114" s="287">
        <f t="shared" si="32"/>
        <v>0</v>
      </c>
      <c r="H114" s="287">
        <f t="shared" si="32"/>
        <v>0</v>
      </c>
      <c r="I114" s="287">
        <f t="shared" si="32"/>
        <v>0</v>
      </c>
      <c r="J114" s="287">
        <f t="shared" si="32"/>
        <v>0</v>
      </c>
      <c r="K114" s="287">
        <f t="shared" si="32"/>
        <v>0</v>
      </c>
      <c r="L114" s="287">
        <f t="shared" si="32"/>
        <v>0</v>
      </c>
      <c r="M114" s="287">
        <f t="shared" si="32"/>
        <v>0</v>
      </c>
      <c r="N114" s="287">
        <f t="shared" si="32"/>
        <v>0</v>
      </c>
      <c r="O114" s="287">
        <f t="shared" si="32"/>
        <v>0</v>
      </c>
      <c r="P114" s="287">
        <f t="shared" si="32"/>
        <v>0</v>
      </c>
      <c r="Q114" s="284">
        <f>Q99+Q100-Q111</f>
        <v>0</v>
      </c>
      <c r="R114" s="4"/>
    </row>
    <row r="117" spans="3:18" x14ac:dyDescent="0.25">
      <c r="C117" s="4"/>
      <c r="D117" s="4"/>
      <c r="E117" s="4"/>
      <c r="F117" s="4"/>
      <c r="G117" s="4"/>
      <c r="H117" s="4"/>
      <c r="I117" s="4"/>
      <c r="J117" s="4"/>
      <c r="K117" s="4"/>
      <c r="L117" s="4"/>
      <c r="M117" s="4"/>
      <c r="N117" s="4"/>
      <c r="O117" s="4"/>
      <c r="P117" s="4"/>
      <c r="Q117" s="4"/>
      <c r="R117" s="4"/>
    </row>
    <row r="118" spans="3:18" ht="111" customHeight="1" x14ac:dyDescent="0.25">
      <c r="C118" s="498" t="s">
        <v>213</v>
      </c>
      <c r="D118" s="499"/>
      <c r="E118" s="499"/>
      <c r="F118" s="499"/>
      <c r="G118" s="500"/>
    </row>
    <row r="119" spans="3:18" x14ac:dyDescent="0.25">
      <c r="C119" s="147" t="s">
        <v>197</v>
      </c>
    </row>
  </sheetData>
  <sheetProtection algorithmName="SHA-512" hashValue="RTG3I0JyU8R82HUHwW/qzad8SCHHuSRxnFkslTk3z37lg3p1bmXmKQopgbpJDLqtJZ0fYi+ii+TL5KhAGlL3fg==" saltValue="Wvn0gSGqKK61GXin0+rhmg==" spinCount="100000" sheet="1" objects="1" scenarios="1" formatColumns="0"/>
  <customSheetViews>
    <customSheetView guid="{E8D2897D-F373-4833-ABA9-6A8879B86992}" fitToPage="1">
      <selection activeCell="C38" sqref="C38"/>
      <pageMargins left="0.75" right="0.75" top="1" bottom="1" header="0.5" footer="0.5"/>
      <pageSetup paperSize="9" scale="70" orientation="landscape" r:id="rId1"/>
      <headerFooter alignWithMargins="0"/>
    </customSheetView>
  </customSheetViews>
  <mergeCells count="81">
    <mergeCell ref="C118:G118"/>
    <mergeCell ref="C111:D111"/>
    <mergeCell ref="C110:D110"/>
    <mergeCell ref="C41:D41"/>
    <mergeCell ref="C74:D74"/>
    <mergeCell ref="C75:D75"/>
    <mergeCell ref="C104:D104"/>
    <mergeCell ref="C105:D105"/>
    <mergeCell ref="C114:D114"/>
    <mergeCell ref="C69:D69"/>
    <mergeCell ref="C109:D109"/>
    <mergeCell ref="C103:D103"/>
    <mergeCell ref="C102:D102"/>
    <mergeCell ref="C61:D61"/>
    <mergeCell ref="C94:D94"/>
    <mergeCell ref="C64:D64"/>
    <mergeCell ref="C32:D32"/>
    <mergeCell ref="C79:D79"/>
    <mergeCell ref="C3:F3"/>
    <mergeCell ref="C44:D44"/>
    <mergeCell ref="C67:D67"/>
    <mergeCell ref="C68:D68"/>
    <mergeCell ref="C15:D15"/>
    <mergeCell ref="C16:D16"/>
    <mergeCell ref="C17:D17"/>
    <mergeCell ref="C19:D19"/>
    <mergeCell ref="C51:D51"/>
    <mergeCell ref="C52:D52"/>
    <mergeCell ref="C26:D26"/>
    <mergeCell ref="C54:D54"/>
    <mergeCell ref="C55:D55"/>
    <mergeCell ref="C40:D40"/>
    <mergeCell ref="H5:I5"/>
    <mergeCell ref="H6:I6"/>
    <mergeCell ref="H7:I7"/>
    <mergeCell ref="H8:I8"/>
    <mergeCell ref="C13:D13"/>
    <mergeCell ref="C10:D10"/>
    <mergeCell ref="C5:D5"/>
    <mergeCell ref="C6:D6"/>
    <mergeCell ref="C7:D7"/>
    <mergeCell ref="C8:D8"/>
    <mergeCell ref="C9:D9"/>
    <mergeCell ref="C14:D14"/>
    <mergeCell ref="C20:D20"/>
    <mergeCell ref="C21:D21"/>
    <mergeCell ref="C22:D22"/>
    <mergeCell ref="C24:D24"/>
    <mergeCell ref="C25:D25"/>
    <mergeCell ref="C62:D62"/>
    <mergeCell ref="C27:D27"/>
    <mergeCell ref="C29:D29"/>
    <mergeCell ref="C30:D30"/>
    <mergeCell ref="C48:D48"/>
    <mergeCell ref="C49:D49"/>
    <mergeCell ref="C50:D50"/>
    <mergeCell ref="C33:D33"/>
    <mergeCell ref="C39:D39"/>
    <mergeCell ref="C34:D34"/>
    <mergeCell ref="C35:D35"/>
    <mergeCell ref="C56:D56"/>
    <mergeCell ref="C57:D57"/>
    <mergeCell ref="C59:D59"/>
    <mergeCell ref="C60:D60"/>
    <mergeCell ref="C65:D65"/>
    <mergeCell ref="C83:D83"/>
    <mergeCell ref="C84:D84"/>
    <mergeCell ref="C85:D85"/>
    <mergeCell ref="C86:D86"/>
    <mergeCell ref="C76:D76"/>
    <mergeCell ref="C70:D70"/>
    <mergeCell ref="C87:D87"/>
    <mergeCell ref="C89:D89"/>
    <mergeCell ref="C90:D90"/>
    <mergeCell ref="C91:D91"/>
    <mergeCell ref="C92:D92"/>
    <mergeCell ref="C95:D95"/>
    <mergeCell ref="C96:D96"/>
    <mergeCell ref="C97:D97"/>
    <mergeCell ref="C99:D99"/>
    <mergeCell ref="C100:D100"/>
  </mergeCells>
  <dataValidations count="1">
    <dataValidation type="list" allowBlank="1" showInputMessage="1" showErrorMessage="1" sqref="D16 D21 D26 J6:J8 D51 D56 D61 D86 D91 D96" xr:uid="{00000000-0002-0000-0500-000000000000}">
      <formula1>BTW</formula1>
    </dataValidation>
  </dataValidations>
  <hyperlinks>
    <hyperlink ref="C1" location="Inkoop!C118" display="hoe vul ik dit in?" xr:uid="{00000000-0004-0000-0500-000000000000}"/>
    <hyperlink ref="A2" r:id="rId2" xr:uid="{00000000-0004-0000-0500-000001000000}"/>
    <hyperlink ref="C119" location="Inkoop!A1" display="naar boven" xr:uid="{00000000-0004-0000-0500-000002000000}"/>
  </hyperlinks>
  <pageMargins left="0.25" right="0.25" top="0.75" bottom="0.75" header="0.3" footer="0.3"/>
  <pageSetup paperSize="9" scale="74" fitToHeight="0" orientation="landscape" r:id="rId3"/>
  <headerFooter alignWithMargins="0"/>
  <rowBreaks count="2" manualBreakCount="2">
    <brk id="46" min="1" max="17" man="1"/>
    <brk id="81" min="1" max="17" man="1"/>
  </rowBreaks>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tabColor rgb="FF232572"/>
    <pageSetUpPr fitToPage="1"/>
  </sheetPr>
  <dimension ref="A1:V123"/>
  <sheetViews>
    <sheetView zoomScaleNormal="100" workbookViewId="0">
      <selection activeCell="A29" sqref="A29:XFD29"/>
    </sheetView>
  </sheetViews>
  <sheetFormatPr defaultRowHeight="14.25" customHeight="1" x14ac:dyDescent="0.25"/>
  <cols>
    <col min="1" max="1" width="10" style="1" bestFit="1" customWidth="1"/>
    <col min="2" max="2" width="3.140625" style="1" customWidth="1"/>
    <col min="3" max="3" width="28.28515625" style="1" bestFit="1" customWidth="1"/>
    <col min="4" max="4" width="7.5703125" style="1" bestFit="1" customWidth="1"/>
    <col min="5" max="16" width="11.140625" style="1" bestFit="1" customWidth="1"/>
    <col min="17" max="17" width="10.42578125" style="1" customWidth="1"/>
    <col min="18" max="18" width="3.7109375" style="1" customWidth="1"/>
    <col min="19" max="19" width="20.28515625" style="1" customWidth="1"/>
    <col min="20" max="20" width="9.42578125" style="1" bestFit="1" customWidth="1"/>
    <col min="21" max="16384" width="9.140625" style="1"/>
  </cols>
  <sheetData>
    <row r="1" spans="1:17" ht="15" x14ac:dyDescent="0.25">
      <c r="A1" s="4"/>
      <c r="B1" s="4"/>
      <c r="C1" s="147" t="s">
        <v>199</v>
      </c>
    </row>
    <row r="2" spans="1:17" ht="15" x14ac:dyDescent="0.25">
      <c r="A2" s="147" t="s">
        <v>200</v>
      </c>
      <c r="B2" s="4"/>
    </row>
    <row r="3" spans="1:17" ht="31.5" x14ac:dyDescent="0.5">
      <c r="B3" s="4"/>
      <c r="C3" s="431" t="s">
        <v>496</v>
      </c>
      <c r="D3" s="431"/>
      <c r="E3" s="431"/>
      <c r="F3" s="431"/>
      <c r="G3" s="431"/>
    </row>
    <row r="4" spans="1:17" ht="14.25" customHeight="1" x14ac:dyDescent="0.25">
      <c r="B4" s="4"/>
      <c r="D4" s="2"/>
      <c r="E4" s="37"/>
    </row>
    <row r="5" spans="1:17" ht="14.25" customHeight="1" x14ac:dyDescent="0.25">
      <c r="B5" s="4"/>
      <c r="C5" s="487" t="s">
        <v>400</v>
      </c>
      <c r="D5" s="494"/>
      <c r="E5" s="282" t="s">
        <v>148</v>
      </c>
      <c r="F5" s="102"/>
      <c r="G5" s="102"/>
      <c r="H5" s="102"/>
      <c r="I5" s="102"/>
      <c r="J5" s="102"/>
      <c r="K5" s="102"/>
      <c r="L5" s="102"/>
      <c r="M5" s="102"/>
      <c r="N5" s="102"/>
      <c r="O5" s="102"/>
      <c r="P5" s="102"/>
      <c r="Q5" s="72"/>
    </row>
    <row r="6" spans="1:17" ht="14.25" customHeight="1" x14ac:dyDescent="0.25">
      <c r="B6" s="4"/>
      <c r="C6" s="489" t="s">
        <v>405</v>
      </c>
      <c r="D6" s="491"/>
      <c r="E6" s="279">
        <v>0.21</v>
      </c>
      <c r="F6" s="102"/>
      <c r="G6" s="102"/>
      <c r="H6" s="102"/>
      <c r="I6" s="102"/>
      <c r="J6" s="102"/>
      <c r="K6" s="102"/>
      <c r="L6" s="102"/>
      <c r="M6" s="102"/>
      <c r="N6" s="102"/>
      <c r="O6" s="102"/>
      <c r="P6" s="102"/>
      <c r="Q6" s="72"/>
    </row>
    <row r="7" spans="1:17" ht="14.25" customHeight="1" x14ac:dyDescent="0.25">
      <c r="B7" s="4"/>
      <c r="C7" s="489" t="s">
        <v>406</v>
      </c>
      <c r="D7" s="491"/>
      <c r="E7" s="279">
        <v>0</v>
      </c>
      <c r="F7" s="102"/>
      <c r="G7" s="102"/>
      <c r="H7" s="102"/>
      <c r="I7" s="102"/>
      <c r="J7" s="102"/>
      <c r="K7" s="102"/>
      <c r="L7" s="102"/>
      <c r="M7" s="102"/>
      <c r="N7" s="102"/>
      <c r="O7" s="102"/>
      <c r="P7" s="102"/>
      <c r="Q7" s="72"/>
    </row>
    <row r="8" spans="1:17" ht="14.25" customHeight="1" x14ac:dyDescent="0.25">
      <c r="B8" s="4"/>
      <c r="C8" s="489" t="s">
        <v>274</v>
      </c>
      <c r="D8" s="491"/>
      <c r="E8" s="279">
        <v>0.21</v>
      </c>
      <c r="F8" s="102"/>
      <c r="G8" s="102"/>
      <c r="H8" s="102"/>
      <c r="I8" s="102"/>
      <c r="J8" s="102"/>
      <c r="K8" s="102"/>
      <c r="L8" s="102"/>
      <c r="M8" s="102"/>
      <c r="N8" s="102"/>
      <c r="O8" s="102"/>
      <c r="P8" s="102"/>
      <c r="Q8" s="72"/>
    </row>
    <row r="9" spans="1:17" ht="14.25" customHeight="1" x14ac:dyDescent="0.25">
      <c r="B9" s="4"/>
      <c r="C9" s="44"/>
      <c r="D9" s="44"/>
      <c r="E9" s="102"/>
      <c r="F9" s="102"/>
      <c r="G9" s="102"/>
      <c r="H9" s="102"/>
      <c r="I9" s="102"/>
      <c r="J9" s="102"/>
      <c r="K9" s="102"/>
      <c r="L9" s="102"/>
      <c r="M9" s="102"/>
      <c r="N9" s="102"/>
      <c r="O9" s="102"/>
      <c r="P9" s="102"/>
      <c r="Q9" s="72"/>
    </row>
    <row r="10" spans="1:17" ht="21" x14ac:dyDescent="0.35">
      <c r="B10" s="4"/>
      <c r="C10" s="173">
        <f>Intro!B4</f>
        <v>2023</v>
      </c>
      <c r="D10" s="2"/>
      <c r="E10" s="102">
        <v>1</v>
      </c>
      <c r="F10" s="102">
        <v>2</v>
      </c>
      <c r="G10" s="102">
        <v>3</v>
      </c>
      <c r="H10" s="102">
        <v>4</v>
      </c>
      <c r="I10" s="102">
        <v>5</v>
      </c>
      <c r="J10" s="102">
        <v>6</v>
      </c>
      <c r="K10" s="102">
        <v>7</v>
      </c>
      <c r="L10" s="102">
        <v>8</v>
      </c>
      <c r="M10" s="102">
        <v>9</v>
      </c>
      <c r="N10" s="102">
        <v>10</v>
      </c>
      <c r="O10" s="102">
        <v>11</v>
      </c>
      <c r="P10" s="102">
        <v>12</v>
      </c>
      <c r="Q10" s="72"/>
    </row>
    <row r="11" spans="1:17" ht="14.25" customHeight="1" x14ac:dyDescent="0.25">
      <c r="B11" s="4"/>
      <c r="C11" s="502" t="s">
        <v>55</v>
      </c>
      <c r="D11" s="503"/>
      <c r="E11" s="237" t="s">
        <v>181</v>
      </c>
      <c r="F11" s="237" t="s">
        <v>182</v>
      </c>
      <c r="G11" s="237" t="s">
        <v>183</v>
      </c>
      <c r="H11" s="237" t="s">
        <v>184</v>
      </c>
      <c r="I11" s="237" t="s">
        <v>185</v>
      </c>
      <c r="J11" s="237" t="s">
        <v>186</v>
      </c>
      <c r="K11" s="237" t="s">
        <v>187</v>
      </c>
      <c r="L11" s="237" t="s">
        <v>188</v>
      </c>
      <c r="M11" s="237" t="s">
        <v>189</v>
      </c>
      <c r="N11" s="237" t="s">
        <v>190</v>
      </c>
      <c r="O11" s="237" t="s">
        <v>191</v>
      </c>
      <c r="P11" s="237" t="s">
        <v>192</v>
      </c>
      <c r="Q11" s="303" t="s">
        <v>2</v>
      </c>
    </row>
    <row r="12" spans="1:17" ht="14.25" customHeight="1" x14ac:dyDescent="0.25">
      <c r="B12" s="4"/>
      <c r="C12" s="504" t="s">
        <v>30</v>
      </c>
      <c r="D12" s="505"/>
      <c r="E12" s="340">
        <v>0</v>
      </c>
      <c r="F12" s="340">
        <f t="shared" ref="F12:P12" ca="1" si="0">E45</f>
        <v>0</v>
      </c>
      <c r="G12" s="340">
        <f t="shared" ca="1" si="0"/>
        <v>0</v>
      </c>
      <c r="H12" s="340">
        <f t="shared" ca="1" si="0"/>
        <v>0</v>
      </c>
      <c r="I12" s="340">
        <f t="shared" ca="1" si="0"/>
        <v>0</v>
      </c>
      <c r="J12" s="340">
        <f t="shared" ca="1" si="0"/>
        <v>0</v>
      </c>
      <c r="K12" s="340">
        <f t="shared" ca="1" si="0"/>
        <v>0</v>
      </c>
      <c r="L12" s="340">
        <f t="shared" ca="1" si="0"/>
        <v>0</v>
      </c>
      <c r="M12" s="340">
        <f t="shared" ca="1" si="0"/>
        <v>0</v>
      </c>
      <c r="N12" s="340">
        <f t="shared" ca="1" si="0"/>
        <v>0</v>
      </c>
      <c r="O12" s="340">
        <f t="shared" ca="1" si="0"/>
        <v>0</v>
      </c>
      <c r="P12" s="340">
        <f t="shared" ca="1" si="0"/>
        <v>0</v>
      </c>
      <c r="Q12" s="341"/>
    </row>
    <row r="13" spans="1:17" ht="14.25" customHeight="1" x14ac:dyDescent="0.25">
      <c r="B13" s="4"/>
      <c r="E13" s="41"/>
      <c r="F13" s="41"/>
      <c r="G13" s="41"/>
      <c r="H13" s="41"/>
      <c r="I13" s="41"/>
      <c r="J13" s="41"/>
      <c r="K13" s="41"/>
      <c r="L13" s="41"/>
      <c r="M13" s="41"/>
      <c r="N13" s="41"/>
      <c r="O13" s="41"/>
      <c r="P13" s="41"/>
      <c r="Q13" s="46"/>
    </row>
    <row r="14" spans="1:17" ht="14.25" customHeight="1" x14ac:dyDescent="0.25">
      <c r="B14" s="4"/>
      <c r="C14" s="450" t="s">
        <v>31</v>
      </c>
      <c r="D14" s="451"/>
      <c r="E14" s="348"/>
      <c r="F14" s="348"/>
      <c r="G14" s="348"/>
      <c r="H14" s="348"/>
      <c r="I14" s="348"/>
      <c r="J14" s="348"/>
      <c r="K14" s="348"/>
      <c r="L14" s="348"/>
      <c r="M14" s="348"/>
      <c r="N14" s="348"/>
      <c r="O14" s="348"/>
      <c r="P14" s="348"/>
      <c r="Q14" s="349"/>
    </row>
    <row r="15" spans="1:17" ht="14.25" customHeight="1" x14ac:dyDescent="0.25">
      <c r="B15" s="4"/>
      <c r="C15" s="442" t="s">
        <v>454</v>
      </c>
      <c r="D15" s="501"/>
      <c r="E15" s="286">
        <f ca="1">IF(AND(YEAR('Investering &amp; Financiering'!$E$51)=Liquiditeit!$C10,MONTH('Investering &amp; Financiering'!$E$51)=E10),'Investering &amp; Financiering'!$E$49-'Qredits maandlasten'!$C$5,0)</f>
        <v>0</v>
      </c>
      <c r="F15" s="286">
        <f ca="1">IF(AND(YEAR('Investering &amp; Financiering'!$E$51)=Liquiditeit!$C10,MONTH('Investering &amp; Financiering'!$E$51)=F10),'Investering &amp; Financiering'!$E$49-'Qredits maandlasten'!$C$5,0)</f>
        <v>0</v>
      </c>
      <c r="G15" s="286">
        <f ca="1">IF(AND(YEAR('Investering &amp; Financiering'!$E$51)=Liquiditeit!$C10,MONTH('Investering &amp; Financiering'!$E$51)=G10),'Investering &amp; Financiering'!$E$49-'Qredits maandlasten'!$C$5,0)</f>
        <v>0</v>
      </c>
      <c r="H15" s="286">
        <f ca="1">IF(AND(YEAR('Investering &amp; Financiering'!$E$51)=Liquiditeit!$C10,MONTH('Investering &amp; Financiering'!$E$51)=H10),'Investering &amp; Financiering'!$E$49-'Qredits maandlasten'!$C$5,0)</f>
        <v>0</v>
      </c>
      <c r="I15" s="286">
        <f ca="1">IF(AND(YEAR('Investering &amp; Financiering'!$E$51)=Liquiditeit!$C10,MONTH('Investering &amp; Financiering'!$E$51)=I10),'Investering &amp; Financiering'!$E$49-'Qredits maandlasten'!$C$5,0)</f>
        <v>0</v>
      </c>
      <c r="J15" s="286">
        <f ca="1">IF(AND(YEAR('Investering &amp; Financiering'!$E$51)=Liquiditeit!$C10,MONTH('Investering &amp; Financiering'!$E$51)=J10),'Investering &amp; Financiering'!$E$49-'Qredits maandlasten'!$C$5,0)</f>
        <v>0</v>
      </c>
      <c r="K15" s="286">
        <f ca="1">IF(AND(YEAR('Investering &amp; Financiering'!$E$51)=Liquiditeit!$C10,MONTH('Investering &amp; Financiering'!$E$51)=K10),'Investering &amp; Financiering'!$E$49-'Qredits maandlasten'!$C$5,0)</f>
        <v>0</v>
      </c>
      <c r="L15" s="286">
        <f ca="1">IF(AND(YEAR('Investering &amp; Financiering'!$E$51)=Liquiditeit!$C10,MONTH('Investering &amp; Financiering'!$E$51)=L10),'Investering &amp; Financiering'!$E$49-'Qredits maandlasten'!$C$5,0)</f>
        <v>0</v>
      </c>
      <c r="M15" s="286">
        <f ca="1">IF(AND(YEAR('Investering &amp; Financiering'!$E$51)=Liquiditeit!$C10,MONTH('Investering &amp; Financiering'!$E$51)=M10),'Investering &amp; Financiering'!$E$49-'Qredits maandlasten'!$C$5,0)</f>
        <v>0</v>
      </c>
      <c r="N15" s="286">
        <f ca="1">IF(AND(YEAR('Investering &amp; Financiering'!$E$51)=Liquiditeit!$C10,MONTH('Investering &amp; Financiering'!$E$51)=N10),'Investering &amp; Financiering'!$E$49-'Qredits maandlasten'!$C$5,0)</f>
        <v>0</v>
      </c>
      <c r="O15" s="286">
        <f ca="1">IF(AND(YEAR('Investering &amp; Financiering'!$E$51)=Liquiditeit!$C10,MONTH('Investering &amp; Financiering'!$E$51)=O10),'Investering &amp; Financiering'!$E$49-'Qredits maandlasten'!$C$5,0)</f>
        <v>0</v>
      </c>
      <c r="P15" s="286">
        <f ca="1">IF(AND(YEAR('Investering &amp; Financiering'!$E$51)=Liquiditeit!$C10,MONTH('Investering &amp; Financiering'!$E$51)=P10),'Investering &amp; Financiering'!$E$49-'Qredits maandlasten'!$C$5,0)</f>
        <v>0</v>
      </c>
      <c r="Q15" s="342">
        <f t="shared" ref="Q15:Q21" ca="1" si="1">SUM(E15:P15)</f>
        <v>0</v>
      </c>
    </row>
    <row r="16" spans="1:17" ht="14.25" customHeight="1" x14ac:dyDescent="0.25">
      <c r="B16" s="4"/>
      <c r="C16" s="442" t="s">
        <v>32</v>
      </c>
      <c r="D16" s="501"/>
      <c r="E16" s="286">
        <f ca="1">IF(AND(YEAR('Investering &amp; Financiering'!$E$51)=Liquiditeit!$C10,MONTH('Investering &amp; Financiering'!$E$51)=E10),'Investering &amp; Financiering'!$E$36,0)</f>
        <v>0</v>
      </c>
      <c r="F16" s="286">
        <f ca="1">IF(AND(YEAR('Investering &amp; Financiering'!$E$51)=Liquiditeit!$C10,MONTH('Investering &amp; Financiering'!$E$51)=F10),'Investering &amp; Financiering'!$E$36,0)</f>
        <v>0</v>
      </c>
      <c r="G16" s="286">
        <f ca="1">IF(AND(YEAR('Investering &amp; Financiering'!$E$51)=Liquiditeit!$C10,MONTH('Investering &amp; Financiering'!$E$51)=G10),'Investering &amp; Financiering'!$E$36,0)</f>
        <v>0</v>
      </c>
      <c r="H16" s="286">
        <f ca="1">IF(AND(YEAR('Investering &amp; Financiering'!$E$51)=Liquiditeit!$C10,MONTH('Investering &amp; Financiering'!$E$51)=H10),'Investering &amp; Financiering'!$E$36,0)</f>
        <v>0</v>
      </c>
      <c r="I16" s="286">
        <f ca="1">IF(AND(YEAR('Investering &amp; Financiering'!$E$51)=Liquiditeit!$C10,MONTH('Investering &amp; Financiering'!$E$51)=I10),'Investering &amp; Financiering'!$E$36,0)</f>
        <v>0</v>
      </c>
      <c r="J16" s="286">
        <f ca="1">IF(AND(YEAR('Investering &amp; Financiering'!$E$51)=Liquiditeit!$C10,MONTH('Investering &amp; Financiering'!$E$51)=J10),'Investering &amp; Financiering'!$E$36,0)</f>
        <v>0</v>
      </c>
      <c r="K16" s="286">
        <f ca="1">IF(AND(YEAR('Investering &amp; Financiering'!$E$51)=Liquiditeit!$C10,MONTH('Investering &amp; Financiering'!$E$51)=K10),'Investering &amp; Financiering'!$E$36,0)</f>
        <v>0</v>
      </c>
      <c r="L16" s="286">
        <f ca="1">IF(AND(YEAR('Investering &amp; Financiering'!$E$51)=Liquiditeit!$C10,MONTH('Investering &amp; Financiering'!$E$51)=L10),'Investering &amp; Financiering'!$E$36,0)</f>
        <v>0</v>
      </c>
      <c r="M16" s="286">
        <f ca="1">IF(AND(YEAR('Investering &amp; Financiering'!$E$51)=Liquiditeit!$C10,MONTH('Investering &amp; Financiering'!$E$51)=M10),'Investering &amp; Financiering'!$E$36,0)</f>
        <v>0</v>
      </c>
      <c r="N16" s="286">
        <f ca="1">IF(AND(YEAR('Investering &amp; Financiering'!$E$51)=Liquiditeit!$C10,MONTH('Investering &amp; Financiering'!$E$51)=N10),'Investering &amp; Financiering'!$E$36,0)</f>
        <v>0</v>
      </c>
      <c r="O16" s="286">
        <f ca="1">IF(AND(YEAR('Investering &amp; Financiering'!$E$51)=Liquiditeit!$C10,MONTH('Investering &amp; Financiering'!$E$51)=O10),'Investering &amp; Financiering'!$E$36,0)</f>
        <v>0</v>
      </c>
      <c r="P16" s="286">
        <f ca="1">IF(AND(YEAR('Investering &amp; Financiering'!$E$51)=Liquiditeit!$C10,MONTH('Investering &amp; Financiering'!$E$51)=P10),'Investering &amp; Financiering'!$E$36,0)</f>
        <v>0</v>
      </c>
      <c r="Q16" s="342">
        <f ca="1">SUM(E16:P16)</f>
        <v>0</v>
      </c>
    </row>
    <row r="17" spans="2:22" ht="14.25" customHeight="1" x14ac:dyDescent="0.25">
      <c r="B17" s="4"/>
      <c r="C17" s="442" t="s">
        <v>33</v>
      </c>
      <c r="D17" s="501"/>
      <c r="E17" s="286">
        <f ca="1">IF(AND(YEAR('Investering &amp; Financiering'!$E$51)=Liquiditeit!$C10,MONTH('Investering &amp; Financiering'!$E$51)=E10),'Investering &amp; Financiering'!$E$37,0)</f>
        <v>0</v>
      </c>
      <c r="F17" s="286">
        <f ca="1">IF(AND(YEAR('Investering &amp; Financiering'!$E$51)=Liquiditeit!$C10,MONTH('Investering &amp; Financiering'!$E$51)=F10),'Investering &amp; Financiering'!$E$37,0)</f>
        <v>0</v>
      </c>
      <c r="G17" s="286">
        <f ca="1">IF(AND(YEAR('Investering &amp; Financiering'!$E$51)=Liquiditeit!$C10,MONTH('Investering &amp; Financiering'!$E$51)=G10),'Investering &amp; Financiering'!$E$37,0)</f>
        <v>0</v>
      </c>
      <c r="H17" s="286">
        <f ca="1">IF(AND(YEAR('Investering &amp; Financiering'!$E$51)=Liquiditeit!$C10,MONTH('Investering &amp; Financiering'!$E$51)=H10),'Investering &amp; Financiering'!$E$37,0)</f>
        <v>0</v>
      </c>
      <c r="I17" s="286">
        <f ca="1">IF(AND(YEAR('Investering &amp; Financiering'!$E$51)=Liquiditeit!$C10,MONTH('Investering &amp; Financiering'!$E$51)=I10),'Investering &amp; Financiering'!$E$37,0)</f>
        <v>0</v>
      </c>
      <c r="J17" s="286">
        <f ca="1">IF(AND(YEAR('Investering &amp; Financiering'!$E$51)=Liquiditeit!$C10,MONTH('Investering &amp; Financiering'!$E$51)=J10),'Investering &amp; Financiering'!$E$37,0)</f>
        <v>0</v>
      </c>
      <c r="K17" s="286">
        <f ca="1">IF(AND(YEAR('Investering &amp; Financiering'!$E$51)=Liquiditeit!$C10,MONTH('Investering &amp; Financiering'!$E$51)=K10),'Investering &amp; Financiering'!$E$37,0)</f>
        <v>0</v>
      </c>
      <c r="L17" s="286">
        <f ca="1">IF(AND(YEAR('Investering &amp; Financiering'!$E$51)=Liquiditeit!$C10,MONTH('Investering &amp; Financiering'!$E$51)=L10),'Investering &amp; Financiering'!$E$37,0)</f>
        <v>0</v>
      </c>
      <c r="M17" s="286">
        <f ca="1">IF(AND(YEAR('Investering &amp; Financiering'!$E$51)=Liquiditeit!$C10,MONTH('Investering &amp; Financiering'!$E$51)=M10),'Investering &amp; Financiering'!$E$37,0)</f>
        <v>0</v>
      </c>
      <c r="N17" s="286">
        <f ca="1">IF(AND(YEAR('Investering &amp; Financiering'!$E$51)=Liquiditeit!$C10,MONTH('Investering &amp; Financiering'!$E$51)=N10),'Investering &amp; Financiering'!$E$37,0)</f>
        <v>0</v>
      </c>
      <c r="O17" s="286">
        <f ca="1">IF(AND(YEAR('Investering &amp; Financiering'!$E$51)=Liquiditeit!$C10,MONTH('Investering &amp; Financiering'!$E$51)=O10),'Investering &amp; Financiering'!$E$37,0)</f>
        <v>0</v>
      </c>
      <c r="P17" s="286">
        <f ca="1">IF(AND(YEAR('Investering &amp; Financiering'!$E$51)=Liquiditeit!$C10,MONTH('Investering &amp; Financiering'!$E$51)=P10),'Investering &amp; Financiering'!$E$37,0)</f>
        <v>0</v>
      </c>
      <c r="Q17" s="342">
        <f ca="1">SUM(E17:P17)</f>
        <v>0</v>
      </c>
    </row>
    <row r="18" spans="2:22" ht="14.25" customHeight="1" x14ac:dyDescent="0.25">
      <c r="B18" s="4"/>
      <c r="C18" s="442" t="s">
        <v>208</v>
      </c>
      <c r="D18" s="501"/>
      <c r="E18" s="286">
        <f ca="1">IF(AND(YEAR('Investering &amp; Financiering'!$E$45)=Liquiditeit!$C10,MONTH('Investering &amp; Financiering'!$E$45)=E10),'Investering &amp; Financiering'!$E$38,0)</f>
        <v>0</v>
      </c>
      <c r="F18" s="286">
        <f ca="1">IF(AND(YEAR('Investering &amp; Financiering'!$E$45)=Liquiditeit!$C10,MONTH('Investering &amp; Financiering'!$E$45)=F10),'Investering &amp; Financiering'!$E$38,0)</f>
        <v>0</v>
      </c>
      <c r="G18" s="286">
        <f ca="1">IF(AND(YEAR('Investering &amp; Financiering'!$E$45)=Liquiditeit!$C10,MONTH('Investering &amp; Financiering'!$E$45)=G10),'Investering &amp; Financiering'!$E$38,0)</f>
        <v>0</v>
      </c>
      <c r="H18" s="286">
        <f ca="1">IF(AND(YEAR('Investering &amp; Financiering'!$E$45)=Liquiditeit!$C10,MONTH('Investering &amp; Financiering'!$E$45)=H10),'Investering &amp; Financiering'!$E$38,0)</f>
        <v>0</v>
      </c>
      <c r="I18" s="286">
        <f ca="1">IF(AND(YEAR('Investering &amp; Financiering'!$E$45)=Liquiditeit!$C10,MONTH('Investering &amp; Financiering'!$E$45)=I10),'Investering &amp; Financiering'!$E$38,0)</f>
        <v>0</v>
      </c>
      <c r="J18" s="286">
        <f ca="1">IF(AND(YEAR('Investering &amp; Financiering'!$E$45)=Liquiditeit!$C10,MONTH('Investering &amp; Financiering'!$E$45)=J10),'Investering &amp; Financiering'!$E$38,0)</f>
        <v>0</v>
      </c>
      <c r="K18" s="286">
        <f ca="1">IF(AND(YEAR('Investering &amp; Financiering'!$E$45)=Liquiditeit!$C10,MONTH('Investering &amp; Financiering'!$E$45)=K10),'Investering &amp; Financiering'!$E$38,0)</f>
        <v>0</v>
      </c>
      <c r="L18" s="286">
        <f ca="1">IF(AND(YEAR('Investering &amp; Financiering'!$E$45)=Liquiditeit!$C10,MONTH('Investering &amp; Financiering'!$E$45)=L10),'Investering &amp; Financiering'!$E$38,0)</f>
        <v>0</v>
      </c>
      <c r="M18" s="286">
        <f ca="1">IF(AND(YEAR('Investering &amp; Financiering'!$E$45)=Liquiditeit!$C10,MONTH('Investering &amp; Financiering'!$E$45)=M10),'Investering &amp; Financiering'!$E$38,0)</f>
        <v>0</v>
      </c>
      <c r="N18" s="286">
        <f ca="1">IF(AND(YEAR('Investering &amp; Financiering'!$E$45)=Liquiditeit!$C10,MONTH('Investering &amp; Financiering'!$E$45)=N10),'Investering &amp; Financiering'!$E$38,0)</f>
        <v>0</v>
      </c>
      <c r="O18" s="286">
        <f ca="1">IF(AND(YEAR('Investering &amp; Financiering'!$E$45)=Liquiditeit!$C10,MONTH('Investering &amp; Financiering'!$E$45)=O10),'Investering &amp; Financiering'!$E$38,0)</f>
        <v>0</v>
      </c>
      <c r="P18" s="286">
        <f ca="1">IF(AND(YEAR('Investering &amp; Financiering'!$E$45)=Liquiditeit!$C10,MONTH('Investering &amp; Financiering'!$E$45)=P10),'Investering &amp; Financiering'!$E$38,0)</f>
        <v>0</v>
      </c>
      <c r="Q18" s="342">
        <f ca="1">SUM(E18:P18)</f>
        <v>0</v>
      </c>
    </row>
    <row r="19" spans="2:22" ht="14.25" customHeight="1" x14ac:dyDescent="0.25">
      <c r="B19" s="4"/>
      <c r="C19" s="442" t="s">
        <v>45</v>
      </c>
      <c r="D19" s="443"/>
      <c r="E19" s="286">
        <f>Verkoop!E34</f>
        <v>0</v>
      </c>
      <c r="F19" s="286">
        <f>Verkoop!F34</f>
        <v>0</v>
      </c>
      <c r="G19" s="286">
        <f>Verkoop!G34</f>
        <v>0</v>
      </c>
      <c r="H19" s="286">
        <f>Verkoop!H34</f>
        <v>0</v>
      </c>
      <c r="I19" s="286">
        <f>Verkoop!I34</f>
        <v>0</v>
      </c>
      <c r="J19" s="286">
        <f>Verkoop!J34</f>
        <v>0</v>
      </c>
      <c r="K19" s="286">
        <f>Verkoop!K34</f>
        <v>0</v>
      </c>
      <c r="L19" s="286">
        <f>Verkoop!L34</f>
        <v>0</v>
      </c>
      <c r="M19" s="286">
        <f>Verkoop!M34</f>
        <v>0</v>
      </c>
      <c r="N19" s="286">
        <f>Verkoop!N34</f>
        <v>0</v>
      </c>
      <c r="O19" s="286">
        <f>Verkoop!O34</f>
        <v>0</v>
      </c>
      <c r="P19" s="286">
        <f>Verkoop!P34</f>
        <v>0</v>
      </c>
      <c r="Q19" s="342">
        <f t="shared" si="1"/>
        <v>0</v>
      </c>
    </row>
    <row r="20" spans="2:22" ht="14.25" customHeight="1" x14ac:dyDescent="0.25">
      <c r="B20" s="4"/>
      <c r="C20" s="442" t="s">
        <v>34</v>
      </c>
      <c r="D20" s="443"/>
      <c r="E20" s="286">
        <f>Verkoop!E35</f>
        <v>0</v>
      </c>
      <c r="F20" s="286">
        <f>Verkoop!F35</f>
        <v>0</v>
      </c>
      <c r="G20" s="286">
        <f>Verkoop!G35</f>
        <v>0</v>
      </c>
      <c r="H20" s="286">
        <f>Verkoop!H35</f>
        <v>0</v>
      </c>
      <c r="I20" s="286">
        <f>Verkoop!I35</f>
        <v>0</v>
      </c>
      <c r="J20" s="286">
        <f>Verkoop!J35</f>
        <v>0</v>
      </c>
      <c r="K20" s="286">
        <f>Verkoop!K35</f>
        <v>0</v>
      </c>
      <c r="L20" s="286">
        <f>Verkoop!L35</f>
        <v>0</v>
      </c>
      <c r="M20" s="286">
        <f>Verkoop!M35</f>
        <v>0</v>
      </c>
      <c r="N20" s="286">
        <f>Verkoop!N35</f>
        <v>0</v>
      </c>
      <c r="O20" s="286">
        <f>Verkoop!O35</f>
        <v>0</v>
      </c>
      <c r="P20" s="286">
        <f>Verkoop!P35</f>
        <v>0</v>
      </c>
      <c r="Q20" s="342">
        <f t="shared" si="1"/>
        <v>0</v>
      </c>
    </row>
    <row r="21" spans="2:22" ht="14.25" customHeight="1" x14ac:dyDescent="0.25">
      <c r="B21" s="4"/>
      <c r="C21" s="440" t="s">
        <v>35</v>
      </c>
      <c r="D21" s="441"/>
      <c r="E21" s="343">
        <f t="shared" ref="E21:P21" ca="1" si="2">SUM(E15:E20)</f>
        <v>0</v>
      </c>
      <c r="F21" s="343">
        <f t="shared" ca="1" si="2"/>
        <v>0</v>
      </c>
      <c r="G21" s="343">
        <f t="shared" ca="1" si="2"/>
        <v>0</v>
      </c>
      <c r="H21" s="343">
        <f t="shared" ca="1" si="2"/>
        <v>0</v>
      </c>
      <c r="I21" s="343">
        <f t="shared" ca="1" si="2"/>
        <v>0</v>
      </c>
      <c r="J21" s="343">
        <f t="shared" ca="1" si="2"/>
        <v>0</v>
      </c>
      <c r="K21" s="343">
        <f t="shared" ca="1" si="2"/>
        <v>0</v>
      </c>
      <c r="L21" s="343">
        <f t="shared" ca="1" si="2"/>
        <v>0</v>
      </c>
      <c r="M21" s="343">
        <f t="shared" ca="1" si="2"/>
        <v>0</v>
      </c>
      <c r="N21" s="343">
        <f t="shared" ca="1" si="2"/>
        <v>0</v>
      </c>
      <c r="O21" s="343">
        <f t="shared" ca="1" si="2"/>
        <v>0</v>
      </c>
      <c r="P21" s="343">
        <f t="shared" ca="1" si="2"/>
        <v>0</v>
      </c>
      <c r="Q21" s="342">
        <f t="shared" ca="1" si="1"/>
        <v>0</v>
      </c>
    </row>
    <row r="22" spans="2:22" ht="14.25" customHeight="1" x14ac:dyDescent="0.25">
      <c r="B22" s="4"/>
    </row>
    <row r="23" spans="2:22" ht="14.25" customHeight="1" x14ac:dyDescent="0.25">
      <c r="B23" s="4"/>
      <c r="C23" s="432" t="s">
        <v>36</v>
      </c>
      <c r="D23" s="433"/>
      <c r="E23" s="350"/>
      <c r="F23" s="350"/>
      <c r="G23" s="350"/>
      <c r="H23" s="350"/>
      <c r="I23" s="350"/>
      <c r="J23" s="350"/>
      <c r="K23" s="350"/>
      <c r="L23" s="350"/>
      <c r="M23" s="350"/>
      <c r="N23" s="350"/>
      <c r="O23" s="350"/>
      <c r="P23" s="350"/>
      <c r="Q23" s="262"/>
    </row>
    <row r="24" spans="2:22" ht="14.25" customHeight="1" x14ac:dyDescent="0.25">
      <c r="B24" s="4"/>
      <c r="C24" s="442" t="s">
        <v>207</v>
      </c>
      <c r="D24" s="443"/>
      <c r="E24" s="286">
        <f ca="1">IF(AND(YEAR('Investering &amp; Financiering'!$E$51)=Liquiditeit!$C$10,MONTH('Investering &amp; Financiering'!$E$51)=E$10),SUM('Investering &amp; Financiering'!$F$9:$F$15)+'Investering &amp; Financiering'!$F$21,0)</f>
        <v>0</v>
      </c>
      <c r="F24" s="286">
        <f ca="1">IF(AND(YEAR('Investering &amp; Financiering'!$E$51)=Liquiditeit!$C$10,MONTH('Investering &amp; Financiering'!$E$51)=F$10),SUM('Investering &amp; Financiering'!$F$9:$F$15)+'Investering &amp; Financiering'!$F$21,0)</f>
        <v>0</v>
      </c>
      <c r="G24" s="286">
        <f ca="1">IF(AND(YEAR('Investering &amp; Financiering'!$E$51)=Liquiditeit!$C$10,MONTH('Investering &amp; Financiering'!$E$51)=G$10),SUM('Investering &amp; Financiering'!$F$9:$F$15)+'Investering &amp; Financiering'!$F$21,0)</f>
        <v>0</v>
      </c>
      <c r="H24" s="286">
        <f ca="1">IF(AND(YEAR('Investering &amp; Financiering'!$E$51)=Liquiditeit!$C$10,MONTH('Investering &amp; Financiering'!$E$51)=H$10),SUM('Investering &amp; Financiering'!$F$9:$F$15)+'Investering &amp; Financiering'!$F$21,0)</f>
        <v>0</v>
      </c>
      <c r="I24" s="286">
        <f ca="1">IF(AND(YEAR('Investering &amp; Financiering'!$E$51)=Liquiditeit!$C$10,MONTH('Investering &amp; Financiering'!$E$51)=I$10),SUM('Investering &amp; Financiering'!$F$9:$F$15)+'Investering &amp; Financiering'!$F$21,0)</f>
        <v>0</v>
      </c>
      <c r="J24" s="286">
        <f ca="1">IF(AND(YEAR('Investering &amp; Financiering'!$E$51)=Liquiditeit!$C$10,MONTH('Investering &amp; Financiering'!$E$51)=J$10),SUM('Investering &amp; Financiering'!$F$9:$F$15)+'Investering &amp; Financiering'!$F$21,0)</f>
        <v>0</v>
      </c>
      <c r="K24" s="286">
        <f ca="1">IF(AND(YEAR('Investering &amp; Financiering'!$E$51)=Liquiditeit!$C$10,MONTH('Investering &amp; Financiering'!$E$51)=K$10),SUM('Investering &amp; Financiering'!$F$9:$F$15)+'Investering &amp; Financiering'!$F$21,0)</f>
        <v>0</v>
      </c>
      <c r="L24" s="286">
        <f ca="1">IF(AND(YEAR('Investering &amp; Financiering'!$E$51)=Liquiditeit!$C$10,MONTH('Investering &amp; Financiering'!$E$51)=L$10),SUM('Investering &amp; Financiering'!$F$9:$F$15)+'Investering &amp; Financiering'!$F$21,0)</f>
        <v>0</v>
      </c>
      <c r="M24" s="286">
        <f ca="1">IF(AND(YEAR('Investering &amp; Financiering'!$E$51)=Liquiditeit!$C$10,MONTH('Investering &amp; Financiering'!$E$51)=M$10),SUM('Investering &amp; Financiering'!$F$9:$F$15)+'Investering &amp; Financiering'!$F$21,0)</f>
        <v>0</v>
      </c>
      <c r="N24" s="286">
        <f ca="1">IF(AND(YEAR('Investering &amp; Financiering'!$E$51)=Liquiditeit!$C$10,MONTH('Investering &amp; Financiering'!$E$51)=N$10),SUM('Investering &amp; Financiering'!$F$9:$F$15)+'Investering &amp; Financiering'!$F$21,0)</f>
        <v>0</v>
      </c>
      <c r="O24" s="286">
        <f ca="1">IF(AND(YEAR('Investering &amp; Financiering'!$E$51)=Liquiditeit!$C$10,MONTH('Investering &amp; Financiering'!$E$51)=O$10),SUM('Investering &amp; Financiering'!$F$9:$F$15)+'Investering &amp; Financiering'!$F$21,0)</f>
        <v>0</v>
      </c>
      <c r="P24" s="286">
        <f ca="1">IF(AND(YEAR('Investering &amp; Financiering'!$E$51)=Liquiditeit!$C$10,MONTH('Investering &amp; Financiering'!$E$51)=P$10),SUM('Investering &amp; Financiering'!$F$9:$F$15)+'Investering &amp; Financiering'!$F$21,0)</f>
        <v>0</v>
      </c>
      <c r="Q24" s="342">
        <f ca="1">SUM(E24:P24)</f>
        <v>0</v>
      </c>
    </row>
    <row r="25" spans="2:22" ht="14.25" customHeight="1" x14ac:dyDescent="0.25">
      <c r="B25" s="4"/>
      <c r="C25" s="442" t="s">
        <v>468</v>
      </c>
      <c r="D25" s="443"/>
      <c r="E25" s="286">
        <f ca="1">IF(AND(YEAR('Investering &amp; Financiering'!$E$51)=Liquiditeit!$C$10,MONTH('Investering &amp; Financiering'!$E$51)=E$10),'Investering &amp; Financiering'!$F$23,0)</f>
        <v>0</v>
      </c>
      <c r="F25" s="286">
        <f ca="1">IF(AND(YEAR('Investering &amp; Financiering'!$E$51)=Liquiditeit!$C$10,MONTH('Investering &amp; Financiering'!$E$51)=F$10),'Investering &amp; Financiering'!$F$23,0)</f>
        <v>0</v>
      </c>
      <c r="G25" s="286">
        <f ca="1">IF(AND(YEAR('Investering &amp; Financiering'!$E$51)=Liquiditeit!$C$10,MONTH('Investering &amp; Financiering'!$E$51)=G$10),'Investering &amp; Financiering'!$F$23,0)</f>
        <v>0</v>
      </c>
      <c r="H25" s="286">
        <f ca="1">IF(AND(YEAR('Investering &amp; Financiering'!$E$51)=Liquiditeit!$C$10,MONTH('Investering &amp; Financiering'!$E$51)=H$10),'Investering &amp; Financiering'!$F$23,0)</f>
        <v>0</v>
      </c>
      <c r="I25" s="286">
        <f ca="1">IF(AND(YEAR('Investering &amp; Financiering'!$E$51)=Liquiditeit!$C$10,MONTH('Investering &amp; Financiering'!$E$51)=I$10),'Investering &amp; Financiering'!$F$23,0)</f>
        <v>0</v>
      </c>
      <c r="J25" s="286">
        <f ca="1">IF(AND(YEAR('Investering &amp; Financiering'!$E$51)=Liquiditeit!$C$10,MONTH('Investering &amp; Financiering'!$E$51)=J$10),'Investering &amp; Financiering'!$F$23,0)</f>
        <v>0</v>
      </c>
      <c r="K25" s="286">
        <f ca="1">IF(AND(YEAR('Investering &amp; Financiering'!$E$51)=Liquiditeit!$C$10,MONTH('Investering &amp; Financiering'!$E$51)=K$10),'Investering &amp; Financiering'!$F$23,0)</f>
        <v>0</v>
      </c>
      <c r="L25" s="286">
        <f ca="1">IF(AND(YEAR('Investering &amp; Financiering'!$E$51)=Liquiditeit!$C$10,MONTH('Investering &amp; Financiering'!$E$51)=L$10),'Investering &amp; Financiering'!$F$23,0)</f>
        <v>0</v>
      </c>
      <c r="M25" s="286">
        <f ca="1">IF(AND(YEAR('Investering &amp; Financiering'!$E$51)=Liquiditeit!$C$10,MONTH('Investering &amp; Financiering'!$E$51)=M$10),'Investering &amp; Financiering'!$F$23,0)</f>
        <v>0</v>
      </c>
      <c r="N25" s="286">
        <f ca="1">IF(AND(YEAR('Investering &amp; Financiering'!$E$51)=Liquiditeit!$C$10,MONTH('Investering &amp; Financiering'!$E$51)=N$10),'Investering &amp; Financiering'!$F$23,0)</f>
        <v>0</v>
      </c>
      <c r="O25" s="286">
        <f ca="1">IF(AND(YEAR('Investering &amp; Financiering'!$E$51)=Liquiditeit!$C$10,MONTH('Investering &amp; Financiering'!$E$51)=O$10),'Investering &amp; Financiering'!$F$23,0)</f>
        <v>0</v>
      </c>
      <c r="P25" s="286">
        <f ca="1">IF(AND(YEAR('Investering &amp; Financiering'!$E$51)=Liquiditeit!$C$10,MONTH('Investering &amp; Financiering'!$E$51)=P$10),'Investering &amp; Financiering'!$F$23,0)</f>
        <v>0</v>
      </c>
      <c r="Q25" s="342">
        <f ca="1">SUM(E25:P25)</f>
        <v>0</v>
      </c>
    </row>
    <row r="26" spans="2:22" ht="14.25" customHeight="1" x14ac:dyDescent="0.25">
      <c r="B26" s="4"/>
      <c r="C26" s="442" t="s">
        <v>193</v>
      </c>
      <c r="D26" s="443"/>
      <c r="E26" s="286">
        <f>Inkoop!E39</f>
        <v>0</v>
      </c>
      <c r="F26" s="286">
        <f>Inkoop!F39</f>
        <v>0</v>
      </c>
      <c r="G26" s="286">
        <f>Inkoop!G39</f>
        <v>0</v>
      </c>
      <c r="H26" s="286">
        <f>Inkoop!H39</f>
        <v>0</v>
      </c>
      <c r="I26" s="286">
        <f>Inkoop!I39</f>
        <v>0</v>
      </c>
      <c r="J26" s="286">
        <f>Inkoop!J39</f>
        <v>0</v>
      </c>
      <c r="K26" s="286">
        <f>Inkoop!K39</f>
        <v>0</v>
      </c>
      <c r="L26" s="286">
        <f>Inkoop!L39</f>
        <v>0</v>
      </c>
      <c r="M26" s="286">
        <f>Inkoop!M39</f>
        <v>0</v>
      </c>
      <c r="N26" s="286">
        <f>Inkoop!N39</f>
        <v>0</v>
      </c>
      <c r="O26" s="286">
        <f>Inkoop!O39</f>
        <v>0</v>
      </c>
      <c r="P26" s="286">
        <f>Inkoop!P39</f>
        <v>0</v>
      </c>
      <c r="Q26" s="342">
        <f t="shared" ref="Q26:Q33" si="3">SUM(E26:P26)</f>
        <v>0</v>
      </c>
      <c r="S26" s="88"/>
    </row>
    <row r="27" spans="2:22" ht="14.25" customHeight="1" x14ac:dyDescent="0.25">
      <c r="B27" s="4"/>
      <c r="C27" s="442" t="s">
        <v>220</v>
      </c>
      <c r="D27" s="443"/>
      <c r="E27" s="286">
        <f>Inkoop!E40</f>
        <v>0</v>
      </c>
      <c r="F27" s="286">
        <f>Inkoop!F40</f>
        <v>0</v>
      </c>
      <c r="G27" s="286">
        <f>Inkoop!G40</f>
        <v>0</v>
      </c>
      <c r="H27" s="286">
        <f>Inkoop!H40</f>
        <v>0</v>
      </c>
      <c r="I27" s="286">
        <f>Inkoop!I40</f>
        <v>0</v>
      </c>
      <c r="J27" s="286">
        <f>Inkoop!J40</f>
        <v>0</v>
      </c>
      <c r="K27" s="286">
        <f>Inkoop!K40</f>
        <v>0</v>
      </c>
      <c r="L27" s="286">
        <f>Inkoop!L40</f>
        <v>0</v>
      </c>
      <c r="M27" s="286">
        <f>Inkoop!M40</f>
        <v>0</v>
      </c>
      <c r="N27" s="286">
        <f>Inkoop!N40</f>
        <v>0</v>
      </c>
      <c r="O27" s="286">
        <f>Inkoop!O40</f>
        <v>0</v>
      </c>
      <c r="P27" s="286">
        <f>Inkoop!P40</f>
        <v>0</v>
      </c>
      <c r="Q27" s="342">
        <f>SUM(E27:P27)</f>
        <v>0</v>
      </c>
      <c r="S27" s="88"/>
    </row>
    <row r="28" spans="2:22" ht="14.25" customHeight="1" x14ac:dyDescent="0.25">
      <c r="B28" s="4"/>
      <c r="C28" s="442" t="s">
        <v>37</v>
      </c>
      <c r="D28" s="443"/>
      <c r="E28" s="344"/>
      <c r="F28" s="344"/>
      <c r="G28" s="344"/>
      <c r="H28" s="344"/>
      <c r="I28" s="344"/>
      <c r="J28" s="344"/>
      <c r="K28" s="344"/>
      <c r="L28" s="344"/>
      <c r="M28" s="344"/>
      <c r="N28" s="344"/>
      <c r="O28" s="344"/>
      <c r="P28" s="344"/>
      <c r="Q28" s="342">
        <f t="shared" si="3"/>
        <v>0</v>
      </c>
      <c r="S28" s="90"/>
      <c r="T28" s="86"/>
      <c r="U28" s="506"/>
      <c r="V28" s="507"/>
    </row>
    <row r="29" spans="2:22" ht="14.25" customHeight="1" x14ac:dyDescent="0.25">
      <c r="B29" s="4"/>
      <c r="C29" s="442" t="s">
        <v>38</v>
      </c>
      <c r="D29" s="443"/>
      <c r="E29" s="344"/>
      <c r="F29" s="344"/>
      <c r="G29" s="344"/>
      <c r="H29" s="344"/>
      <c r="I29" s="344"/>
      <c r="J29" s="344"/>
      <c r="K29" s="344"/>
      <c r="L29" s="344"/>
      <c r="M29" s="344"/>
      <c r="N29" s="344"/>
      <c r="O29" s="344"/>
      <c r="P29" s="344"/>
      <c r="Q29" s="342">
        <f t="shared" si="3"/>
        <v>0</v>
      </c>
      <c r="S29" s="90"/>
      <c r="T29" s="87"/>
      <c r="U29" s="506"/>
      <c r="V29" s="507"/>
    </row>
    <row r="30" spans="2:22" ht="14.25" customHeight="1" x14ac:dyDescent="0.25">
      <c r="B30" s="4"/>
      <c r="C30" s="442" t="s">
        <v>39</v>
      </c>
      <c r="D30" s="443"/>
      <c r="E30" s="344"/>
      <c r="F30" s="344"/>
      <c r="G30" s="344"/>
      <c r="H30" s="344"/>
      <c r="I30" s="344"/>
      <c r="J30" s="344"/>
      <c r="K30" s="344"/>
      <c r="L30" s="344"/>
      <c r="M30" s="344"/>
      <c r="N30" s="344"/>
      <c r="O30" s="344"/>
      <c r="P30" s="344"/>
      <c r="Q30" s="342">
        <f>SUM(E30:P30)</f>
        <v>0</v>
      </c>
      <c r="S30" s="90"/>
      <c r="T30" s="87"/>
      <c r="U30" s="506"/>
      <c r="V30" s="507"/>
    </row>
    <row r="31" spans="2:22" ht="14.25" customHeight="1" x14ac:dyDescent="0.25">
      <c r="B31" s="4"/>
      <c r="C31" s="442" t="s">
        <v>44</v>
      </c>
      <c r="D31" s="443"/>
      <c r="E31" s="344"/>
      <c r="F31" s="344"/>
      <c r="G31" s="344"/>
      <c r="H31" s="344"/>
      <c r="I31" s="344"/>
      <c r="J31" s="344"/>
      <c r="K31" s="344"/>
      <c r="L31" s="344"/>
      <c r="M31" s="344"/>
      <c r="N31" s="344"/>
      <c r="O31" s="344"/>
      <c r="P31" s="344"/>
      <c r="Q31" s="342">
        <f t="shared" si="3"/>
        <v>0</v>
      </c>
      <c r="S31" s="90"/>
      <c r="T31" s="86"/>
      <c r="U31" s="506"/>
      <c r="V31" s="507"/>
    </row>
    <row r="32" spans="2:22" ht="14.25" customHeight="1" x14ac:dyDescent="0.25">
      <c r="B32" s="4"/>
      <c r="C32" s="442" t="s">
        <v>87</v>
      </c>
      <c r="D32" s="443"/>
      <c r="E32" s="344"/>
      <c r="F32" s="344"/>
      <c r="G32" s="344"/>
      <c r="H32" s="344"/>
      <c r="I32" s="344"/>
      <c r="J32" s="344"/>
      <c r="K32" s="344"/>
      <c r="L32" s="344"/>
      <c r="M32" s="344"/>
      <c r="N32" s="344"/>
      <c r="O32" s="344"/>
      <c r="P32" s="344"/>
      <c r="Q32" s="342">
        <f t="shared" si="3"/>
        <v>0</v>
      </c>
      <c r="S32" s="90"/>
      <c r="T32" s="86"/>
      <c r="U32" s="506"/>
      <c r="V32" s="507"/>
    </row>
    <row r="33" spans="2:20" ht="14.25" customHeight="1" x14ac:dyDescent="0.25">
      <c r="B33" s="4"/>
      <c r="C33" s="442" t="s">
        <v>467</v>
      </c>
      <c r="D33" s="501"/>
      <c r="E33" s="286">
        <f>(E29*$E$7)+(E30*$E$8)+(E31*$E$8)+(E32*$E$8)</f>
        <v>0</v>
      </c>
      <c r="F33" s="286">
        <f t="shared" ref="F33:P33" si="4">(F29*$E$7)+(F30*$E$8)+(F31*$E$8)+(F32*$E$8)</f>
        <v>0</v>
      </c>
      <c r="G33" s="286">
        <f t="shared" si="4"/>
        <v>0</v>
      </c>
      <c r="H33" s="286">
        <f t="shared" si="4"/>
        <v>0</v>
      </c>
      <c r="I33" s="286">
        <f t="shared" si="4"/>
        <v>0</v>
      </c>
      <c r="J33" s="286">
        <f t="shared" si="4"/>
        <v>0</v>
      </c>
      <c r="K33" s="286">
        <f t="shared" si="4"/>
        <v>0</v>
      </c>
      <c r="L33" s="286">
        <f t="shared" si="4"/>
        <v>0</v>
      </c>
      <c r="M33" s="286">
        <f t="shared" si="4"/>
        <v>0</v>
      </c>
      <c r="N33" s="286">
        <f t="shared" si="4"/>
        <v>0</v>
      </c>
      <c r="O33" s="286">
        <f t="shared" si="4"/>
        <v>0</v>
      </c>
      <c r="P33" s="286">
        <f t="shared" si="4"/>
        <v>0</v>
      </c>
      <c r="Q33" s="342">
        <f t="shared" si="3"/>
        <v>0</v>
      </c>
      <c r="S33" s="9"/>
    </row>
    <row r="34" spans="2:20" ht="14.25" customHeight="1" x14ac:dyDescent="0.25">
      <c r="B34" s="4"/>
      <c r="C34" s="442" t="s">
        <v>40</v>
      </c>
      <c r="D34" s="501"/>
      <c r="E34" s="286"/>
      <c r="F34" s="286"/>
      <c r="G34" s="286"/>
      <c r="H34" s="286">
        <f ca="1">(Verkoop!E31+Verkoop!F31+Verkoop!G31)-(Inkoop!E30+Inkoop!F30+Inkoop!G30)-(E33+F33+G33)-(E25+F25+G25)</f>
        <v>0</v>
      </c>
      <c r="I34" s="286"/>
      <c r="J34" s="286"/>
      <c r="K34" s="286">
        <f ca="1">(Verkoop!H31+Verkoop!I31+Verkoop!J31)-(Inkoop!H30+Inkoop!I30+Inkoop!J30)-(H33+I33+J33)-(H25+I25+J25)</f>
        <v>0</v>
      </c>
      <c r="L34" s="286"/>
      <c r="M34" s="286"/>
      <c r="N34" s="286">
        <f ca="1">(Verkoop!K31+Verkoop!L31+Verkoop!M31)-(Inkoop!K30+Inkoop!L30+Inkoop!M30)-(K33+L33+M33)-(K25+L25+M25)</f>
        <v>0</v>
      </c>
      <c r="O34" s="286"/>
      <c r="P34" s="286"/>
      <c r="Q34" s="342">
        <f ca="1">SUM(E34:P34)</f>
        <v>0</v>
      </c>
    </row>
    <row r="35" spans="2:20" ht="14.25" customHeight="1" x14ac:dyDescent="0.25">
      <c r="B35" s="4"/>
      <c r="C35" s="442" t="s">
        <v>105</v>
      </c>
      <c r="D35" s="501"/>
      <c r="E35" s="286">
        <f ca="1">'Qredits maandlasten'!C18</f>
        <v>0</v>
      </c>
      <c r="F35" s="286">
        <f ca="1">'Qredits maandlasten'!D18</f>
        <v>0</v>
      </c>
      <c r="G35" s="286">
        <f ca="1">'Qredits maandlasten'!E18</f>
        <v>0</v>
      </c>
      <c r="H35" s="286">
        <f ca="1">'Qredits maandlasten'!F18</f>
        <v>0</v>
      </c>
      <c r="I35" s="286">
        <f ca="1">'Qredits maandlasten'!G18</f>
        <v>0</v>
      </c>
      <c r="J35" s="286">
        <f ca="1">'Qredits maandlasten'!H18</f>
        <v>0</v>
      </c>
      <c r="K35" s="286">
        <f ca="1">'Qredits maandlasten'!I18</f>
        <v>0</v>
      </c>
      <c r="L35" s="286">
        <f ca="1">'Qredits maandlasten'!J18</f>
        <v>0</v>
      </c>
      <c r="M35" s="286">
        <f ca="1">'Qredits maandlasten'!K18</f>
        <v>0</v>
      </c>
      <c r="N35" s="286">
        <f ca="1">'Qredits maandlasten'!L18</f>
        <v>0</v>
      </c>
      <c r="O35" s="286">
        <f ca="1">'Qredits maandlasten'!M18</f>
        <v>0</v>
      </c>
      <c r="P35" s="286">
        <f ca="1">'Qredits maandlasten'!N18</f>
        <v>0</v>
      </c>
      <c r="Q35" s="342">
        <f t="shared" ref="Q35:Q41" ca="1" si="5">SUM(E35:P35)</f>
        <v>0</v>
      </c>
    </row>
    <row r="36" spans="2:20" ht="14.25" customHeight="1" x14ac:dyDescent="0.25">
      <c r="B36" s="4"/>
      <c r="C36" s="442" t="s">
        <v>106</v>
      </c>
      <c r="D36" s="501"/>
      <c r="E36" s="286">
        <f ca="1">'Qredits maandlasten'!C19</f>
        <v>0</v>
      </c>
      <c r="F36" s="286">
        <f ca="1">'Qredits maandlasten'!D19</f>
        <v>0</v>
      </c>
      <c r="G36" s="286">
        <f ca="1">'Qredits maandlasten'!E19</f>
        <v>0</v>
      </c>
      <c r="H36" s="286">
        <f ca="1">'Qredits maandlasten'!F19</f>
        <v>0</v>
      </c>
      <c r="I36" s="286">
        <f ca="1">'Qredits maandlasten'!G19</f>
        <v>0</v>
      </c>
      <c r="J36" s="286">
        <f ca="1">'Qredits maandlasten'!H19</f>
        <v>0</v>
      </c>
      <c r="K36" s="286">
        <f ca="1">'Qredits maandlasten'!I19</f>
        <v>0</v>
      </c>
      <c r="L36" s="286">
        <f ca="1">'Qredits maandlasten'!J19</f>
        <v>0</v>
      </c>
      <c r="M36" s="286">
        <f ca="1">'Qredits maandlasten'!K19</f>
        <v>0</v>
      </c>
      <c r="N36" s="286">
        <f ca="1">'Qredits maandlasten'!L19</f>
        <v>0</v>
      </c>
      <c r="O36" s="286">
        <f ca="1">'Qredits maandlasten'!M19</f>
        <v>0</v>
      </c>
      <c r="P36" s="286">
        <f ca="1">'Qredits maandlasten'!N19</f>
        <v>0</v>
      </c>
      <c r="Q36" s="342">
        <f t="shared" ca="1" si="5"/>
        <v>0</v>
      </c>
    </row>
    <row r="37" spans="2:20" ht="14.25" customHeight="1" x14ac:dyDescent="0.25">
      <c r="B37" s="4"/>
      <c r="C37" s="442" t="s">
        <v>217</v>
      </c>
      <c r="D37" s="443"/>
      <c r="E37" s="344"/>
      <c r="F37" s="344"/>
      <c r="G37" s="344"/>
      <c r="H37" s="344"/>
      <c r="I37" s="344"/>
      <c r="J37" s="344"/>
      <c r="K37" s="344"/>
      <c r="L37" s="344"/>
      <c r="M37" s="344"/>
      <c r="N37" s="344"/>
      <c r="O37" s="344"/>
      <c r="P37" s="344"/>
      <c r="Q37" s="342">
        <f t="shared" si="5"/>
        <v>0</v>
      </c>
    </row>
    <row r="38" spans="2:20" ht="14.25" customHeight="1" x14ac:dyDescent="0.25">
      <c r="B38" s="4"/>
      <c r="C38" s="442" t="s">
        <v>218</v>
      </c>
      <c r="D38" s="443"/>
      <c r="E38" s="344"/>
      <c r="F38" s="344"/>
      <c r="G38" s="344"/>
      <c r="H38" s="344"/>
      <c r="I38" s="344"/>
      <c r="J38" s="344"/>
      <c r="K38" s="344"/>
      <c r="L38" s="344"/>
      <c r="M38" s="344"/>
      <c r="N38" s="344"/>
      <c r="O38" s="344"/>
      <c r="P38" s="344"/>
      <c r="Q38" s="342">
        <f t="shared" si="5"/>
        <v>0</v>
      </c>
    </row>
    <row r="39" spans="2:20" ht="14.25" customHeight="1" x14ac:dyDescent="0.25">
      <c r="B39" s="4"/>
      <c r="C39" s="442" t="s">
        <v>422</v>
      </c>
      <c r="D39" s="443"/>
      <c r="E39" s="286">
        <f t="shared" ref="E39:P39" si="6">IF($Q19=0,0,$Q39*(E19/$Q19))</f>
        <v>0</v>
      </c>
      <c r="F39" s="286">
        <f t="shared" si="6"/>
        <v>0</v>
      </c>
      <c r="G39" s="286">
        <f t="shared" si="6"/>
        <v>0</v>
      </c>
      <c r="H39" s="286">
        <f t="shared" si="6"/>
        <v>0</v>
      </c>
      <c r="I39" s="286">
        <f t="shared" si="6"/>
        <v>0</v>
      </c>
      <c r="J39" s="286">
        <f t="shared" si="6"/>
        <v>0</v>
      </c>
      <c r="K39" s="286">
        <f t="shared" si="6"/>
        <v>0</v>
      </c>
      <c r="L39" s="286">
        <f t="shared" si="6"/>
        <v>0</v>
      </c>
      <c r="M39" s="286">
        <f t="shared" si="6"/>
        <v>0</v>
      </c>
      <c r="N39" s="286">
        <f t="shared" si="6"/>
        <v>0</v>
      </c>
      <c r="O39" s="286">
        <f t="shared" si="6"/>
        <v>0</v>
      </c>
      <c r="P39" s="286">
        <f t="shared" si="6"/>
        <v>0</v>
      </c>
      <c r="Q39" s="342">
        <f ca="1">Exploitatie!$F$30</f>
        <v>0</v>
      </c>
    </row>
    <row r="40" spans="2:20" ht="14.25" customHeight="1" x14ac:dyDescent="0.25">
      <c r="B40" s="4"/>
      <c r="C40" s="442" t="str">
        <f>IF(Privé!$D$7="B.V."," Salaris directie"," Privé onttrekking")</f>
        <v xml:space="preserve"> Privé onttrekking</v>
      </c>
      <c r="D40" s="501"/>
      <c r="E40" s="344">
        <f ca="1">IF(OR(YEAR('Investering &amp; Financiering'!$E$51)&lt;Liquiditeit!$C10,AND(YEAR('Investering &amp; Financiering'!$E$51)=Liquiditeit!$C10,MONTH('Investering &amp; Financiering'!$E$51)&lt;=E10)),Privé!$E$10/12,0)</f>
        <v>0</v>
      </c>
      <c r="F40" s="344">
        <f ca="1">IF(OR(YEAR('Investering &amp; Financiering'!$E$51)&lt;Liquiditeit!$C10,AND(YEAR('Investering &amp; Financiering'!$E$51)=Liquiditeit!$C10,MONTH('Investering &amp; Financiering'!$E$51)&lt;=F10)),Privé!$E$10/12,0)</f>
        <v>0</v>
      </c>
      <c r="G40" s="344">
        <f ca="1">IF(OR(YEAR('Investering &amp; Financiering'!$E$51)&lt;Liquiditeit!$C10,AND(YEAR('Investering &amp; Financiering'!$E$51)=Liquiditeit!$C10,MONTH('Investering &amp; Financiering'!$E$51)&lt;=G10)),Privé!$E$10/12,0)</f>
        <v>0</v>
      </c>
      <c r="H40" s="344">
        <f ca="1">IF(OR(YEAR('Investering &amp; Financiering'!$E$51)&lt;Liquiditeit!$C10,AND(YEAR('Investering &amp; Financiering'!$E$51)=Liquiditeit!$C10,MONTH('Investering &amp; Financiering'!$E$51)&lt;=H10)),Privé!$E$10/12,0)</f>
        <v>0</v>
      </c>
      <c r="I40" s="344">
        <f ca="1">IF(OR(YEAR('Investering &amp; Financiering'!$E$51)&lt;Liquiditeit!$C10,AND(YEAR('Investering &amp; Financiering'!$E$51)=Liquiditeit!$C10,MONTH('Investering &amp; Financiering'!$E$51)&lt;=I10)),Privé!$E$10/12,0)</f>
        <v>0</v>
      </c>
      <c r="J40" s="344">
        <f ca="1">IF(OR(YEAR('Investering &amp; Financiering'!$E$51)&lt;Liquiditeit!$C10,AND(YEAR('Investering &amp; Financiering'!$E$51)=Liquiditeit!$C10,MONTH('Investering &amp; Financiering'!$E$51)&lt;=J10)),Privé!$E$10/12,0)</f>
        <v>0</v>
      </c>
      <c r="K40" s="344">
        <f ca="1">IF(OR(YEAR('Investering &amp; Financiering'!$E$51)&lt;Liquiditeit!$C10,AND(YEAR('Investering &amp; Financiering'!$E$51)=Liquiditeit!$C10,MONTH('Investering &amp; Financiering'!$E$51)&lt;=K10)),Privé!$E$10/12,0)</f>
        <v>0</v>
      </c>
      <c r="L40" s="344">
        <f ca="1">IF(OR(YEAR('Investering &amp; Financiering'!$E$51)&lt;Liquiditeit!$C10,AND(YEAR('Investering &amp; Financiering'!$E$51)=Liquiditeit!$C10,MONTH('Investering &amp; Financiering'!$E$51)&lt;=L10)),Privé!$E$10/12,0)</f>
        <v>0</v>
      </c>
      <c r="M40" s="344">
        <f ca="1">IF(OR(YEAR('Investering &amp; Financiering'!$E$51)&lt;Liquiditeit!$C10,AND(YEAR('Investering &amp; Financiering'!$E$51)=Liquiditeit!$C10,MONTH('Investering &amp; Financiering'!$E$51)&lt;=M10)),Privé!$E$10/12,0)</f>
        <v>0</v>
      </c>
      <c r="N40" s="344">
        <f ca="1">IF(OR(YEAR('Investering &amp; Financiering'!$E$51)&lt;Liquiditeit!$C10,AND(YEAR('Investering &amp; Financiering'!$E$51)=Liquiditeit!$C10,MONTH('Investering &amp; Financiering'!$E$51)&lt;=N10)),Privé!$E$10/12,0)</f>
        <v>0</v>
      </c>
      <c r="O40" s="344">
        <f ca="1">IF(OR(YEAR('Investering &amp; Financiering'!$E$51)&lt;Liquiditeit!$C10,AND(YEAR('Investering &amp; Financiering'!$E$51)=Liquiditeit!$C10,MONTH('Investering &amp; Financiering'!$E$51)&lt;=O10)),Privé!$E$10/12,0)</f>
        <v>0</v>
      </c>
      <c r="P40" s="344">
        <f ca="1">IF(OR(YEAR('Investering &amp; Financiering'!$E$51)&lt;Liquiditeit!$C10,AND(YEAR('Investering &amp; Financiering'!$E$51)=Liquiditeit!$C10,MONTH('Investering &amp; Financiering'!$E$51)&lt;=P10)),Privé!$E$10/12,0)</f>
        <v>0</v>
      </c>
      <c r="Q40" s="342">
        <f t="shared" ca="1" si="5"/>
        <v>0</v>
      </c>
      <c r="S40" s="91"/>
      <c r="T40" s="86"/>
    </row>
    <row r="41" spans="2:20" ht="14.25" customHeight="1" x14ac:dyDescent="0.25">
      <c r="B41" s="4"/>
      <c r="C41" s="440" t="s">
        <v>41</v>
      </c>
      <c r="D41" s="441"/>
      <c r="E41" s="343">
        <f t="shared" ref="E41:P41" ca="1" si="7">SUM(E24:E40)</f>
        <v>0</v>
      </c>
      <c r="F41" s="343">
        <f t="shared" ca="1" si="7"/>
        <v>0</v>
      </c>
      <c r="G41" s="343">
        <f t="shared" ca="1" si="7"/>
        <v>0</v>
      </c>
      <c r="H41" s="343">
        <f t="shared" ca="1" si="7"/>
        <v>0</v>
      </c>
      <c r="I41" s="343">
        <f t="shared" ca="1" si="7"/>
        <v>0</v>
      </c>
      <c r="J41" s="343">
        <f t="shared" ca="1" si="7"/>
        <v>0</v>
      </c>
      <c r="K41" s="343">
        <f t="shared" ca="1" si="7"/>
        <v>0</v>
      </c>
      <c r="L41" s="343">
        <f t="shared" ca="1" si="7"/>
        <v>0</v>
      </c>
      <c r="M41" s="343">
        <f t="shared" ca="1" si="7"/>
        <v>0</v>
      </c>
      <c r="N41" s="343">
        <f t="shared" ca="1" si="7"/>
        <v>0</v>
      </c>
      <c r="O41" s="343">
        <f t="shared" ca="1" si="7"/>
        <v>0</v>
      </c>
      <c r="P41" s="343">
        <f t="shared" ca="1" si="7"/>
        <v>0</v>
      </c>
      <c r="Q41" s="342">
        <f t="shared" ca="1" si="5"/>
        <v>0</v>
      </c>
    </row>
    <row r="42" spans="2:20" ht="14.25" customHeight="1" x14ac:dyDescent="0.25">
      <c r="B42" s="4"/>
      <c r="C42" s="44"/>
      <c r="D42" s="44"/>
      <c r="E42" s="45"/>
      <c r="F42" s="45"/>
      <c r="G42" s="45"/>
      <c r="H42" s="45"/>
      <c r="I42" s="45"/>
      <c r="J42" s="45"/>
      <c r="K42" s="45"/>
      <c r="L42" s="45"/>
      <c r="M42" s="45"/>
      <c r="N42" s="45"/>
      <c r="O42" s="45"/>
      <c r="P42" s="45"/>
      <c r="Q42" s="45"/>
    </row>
    <row r="43" spans="2:20" ht="14.25" customHeight="1" x14ac:dyDescent="0.25">
      <c r="B43" s="4"/>
      <c r="C43" s="432" t="s">
        <v>407</v>
      </c>
      <c r="D43" s="433"/>
      <c r="E43" s="345">
        <f t="shared" ref="E43:P43" ca="1" si="8">E21-E41</f>
        <v>0</v>
      </c>
      <c r="F43" s="345">
        <f t="shared" ca="1" si="8"/>
        <v>0</v>
      </c>
      <c r="G43" s="345">
        <f t="shared" ca="1" si="8"/>
        <v>0</v>
      </c>
      <c r="H43" s="345">
        <f t="shared" ca="1" si="8"/>
        <v>0</v>
      </c>
      <c r="I43" s="345">
        <f t="shared" ca="1" si="8"/>
        <v>0</v>
      </c>
      <c r="J43" s="345">
        <f t="shared" ca="1" si="8"/>
        <v>0</v>
      </c>
      <c r="K43" s="345">
        <f t="shared" ca="1" si="8"/>
        <v>0</v>
      </c>
      <c r="L43" s="345">
        <f t="shared" ca="1" si="8"/>
        <v>0</v>
      </c>
      <c r="M43" s="345">
        <f t="shared" ca="1" si="8"/>
        <v>0</v>
      </c>
      <c r="N43" s="345">
        <f t="shared" ca="1" si="8"/>
        <v>0</v>
      </c>
      <c r="O43" s="345">
        <f t="shared" ca="1" si="8"/>
        <v>0</v>
      </c>
      <c r="P43" s="345">
        <f t="shared" ca="1" si="8"/>
        <v>0</v>
      </c>
      <c r="Q43" s="346"/>
      <c r="S43" s="41"/>
    </row>
    <row r="44" spans="2:20" ht="14.25" customHeight="1" x14ac:dyDescent="0.25">
      <c r="B44" s="4"/>
      <c r="C44" s="44"/>
      <c r="D44" s="44"/>
      <c r="E44" s="45"/>
      <c r="F44" s="45"/>
      <c r="G44" s="45"/>
      <c r="H44" s="45"/>
      <c r="I44" s="45"/>
      <c r="J44" s="45"/>
      <c r="K44" s="45"/>
      <c r="L44" s="45"/>
      <c r="M44" s="45"/>
      <c r="N44" s="45"/>
      <c r="O44" s="45"/>
      <c r="P44" s="45"/>
      <c r="Q44" s="45"/>
    </row>
    <row r="45" spans="2:20" ht="14.25" customHeight="1" x14ac:dyDescent="0.25">
      <c r="B45" s="4"/>
      <c r="C45" s="432" t="s">
        <v>42</v>
      </c>
      <c r="D45" s="433"/>
      <c r="E45" s="347">
        <f t="shared" ref="E45:P45" ca="1" si="9">E12+E43</f>
        <v>0</v>
      </c>
      <c r="F45" s="347">
        <f t="shared" ca="1" si="9"/>
        <v>0</v>
      </c>
      <c r="G45" s="347">
        <f t="shared" ca="1" si="9"/>
        <v>0</v>
      </c>
      <c r="H45" s="347">
        <f t="shared" ca="1" si="9"/>
        <v>0</v>
      </c>
      <c r="I45" s="347">
        <f t="shared" ca="1" si="9"/>
        <v>0</v>
      </c>
      <c r="J45" s="347">
        <f t="shared" ca="1" si="9"/>
        <v>0</v>
      </c>
      <c r="K45" s="347">
        <f t="shared" ca="1" si="9"/>
        <v>0</v>
      </c>
      <c r="L45" s="347">
        <f t="shared" ca="1" si="9"/>
        <v>0</v>
      </c>
      <c r="M45" s="347">
        <f t="shared" ca="1" si="9"/>
        <v>0</v>
      </c>
      <c r="N45" s="347">
        <f t="shared" ca="1" si="9"/>
        <v>0</v>
      </c>
      <c r="O45" s="347">
        <f t="shared" ca="1" si="9"/>
        <v>0</v>
      </c>
      <c r="P45" s="347">
        <f t="shared" ca="1" si="9"/>
        <v>0</v>
      </c>
      <c r="Q45" s="346"/>
      <c r="S45" s="100"/>
    </row>
    <row r="46" spans="2:20" ht="14.25" customHeight="1" x14ac:dyDescent="0.25">
      <c r="B46" s="4"/>
    </row>
    <row r="47" spans="2:20" ht="15" x14ac:dyDescent="0.25"/>
    <row r="48" spans="2:20" ht="21" x14ac:dyDescent="0.35">
      <c r="B48" s="4"/>
      <c r="C48" s="173">
        <f>C10+1</f>
        <v>2024</v>
      </c>
      <c r="E48" s="102">
        <v>1</v>
      </c>
      <c r="F48" s="102">
        <v>2</v>
      </c>
      <c r="G48" s="102">
        <v>3</v>
      </c>
      <c r="H48" s="102">
        <v>4</v>
      </c>
      <c r="I48" s="102">
        <v>5</v>
      </c>
      <c r="J48" s="102">
        <v>6</v>
      </c>
      <c r="K48" s="102">
        <v>7</v>
      </c>
      <c r="L48" s="102">
        <v>8</v>
      </c>
      <c r="M48" s="102">
        <v>9</v>
      </c>
      <c r="N48" s="102">
        <v>10</v>
      </c>
      <c r="O48" s="102">
        <v>11</v>
      </c>
      <c r="P48" s="102">
        <v>12</v>
      </c>
      <c r="Q48" s="72"/>
    </row>
    <row r="49" spans="2:20" ht="14.25" customHeight="1" x14ac:dyDescent="0.25">
      <c r="B49" s="4"/>
      <c r="C49" s="502" t="s">
        <v>55</v>
      </c>
      <c r="D49" s="503"/>
      <c r="E49" s="237" t="s">
        <v>181</v>
      </c>
      <c r="F49" s="237" t="s">
        <v>182</v>
      </c>
      <c r="G49" s="237" t="s">
        <v>183</v>
      </c>
      <c r="H49" s="237" t="s">
        <v>184</v>
      </c>
      <c r="I49" s="237" t="s">
        <v>185</v>
      </c>
      <c r="J49" s="237" t="s">
        <v>186</v>
      </c>
      <c r="K49" s="237" t="s">
        <v>187</v>
      </c>
      <c r="L49" s="237" t="s">
        <v>188</v>
      </c>
      <c r="M49" s="237" t="s">
        <v>189</v>
      </c>
      <c r="N49" s="237" t="s">
        <v>190</v>
      </c>
      <c r="O49" s="237" t="s">
        <v>191</v>
      </c>
      <c r="P49" s="237" t="s">
        <v>192</v>
      </c>
      <c r="Q49" s="303" t="s">
        <v>2</v>
      </c>
    </row>
    <row r="50" spans="2:20" ht="14.25" customHeight="1" x14ac:dyDescent="0.25">
      <c r="B50" s="4"/>
      <c r="C50" s="504" t="s">
        <v>30</v>
      </c>
      <c r="D50" s="505"/>
      <c r="E50" s="340">
        <f ca="1">P45</f>
        <v>0</v>
      </c>
      <c r="F50" s="340">
        <f ca="1">E83</f>
        <v>0</v>
      </c>
      <c r="G50" s="340">
        <f t="shared" ref="G50:P50" ca="1" si="10">F83</f>
        <v>0</v>
      </c>
      <c r="H50" s="340">
        <f t="shared" ca="1" si="10"/>
        <v>0</v>
      </c>
      <c r="I50" s="340">
        <f t="shared" ca="1" si="10"/>
        <v>0</v>
      </c>
      <c r="J50" s="340">
        <f t="shared" ca="1" si="10"/>
        <v>0</v>
      </c>
      <c r="K50" s="340">
        <f t="shared" ca="1" si="10"/>
        <v>0</v>
      </c>
      <c r="L50" s="340">
        <f t="shared" ca="1" si="10"/>
        <v>0</v>
      </c>
      <c r="M50" s="340">
        <f t="shared" ca="1" si="10"/>
        <v>0</v>
      </c>
      <c r="N50" s="340">
        <f t="shared" ca="1" si="10"/>
        <v>0</v>
      </c>
      <c r="O50" s="340">
        <f t="shared" ca="1" si="10"/>
        <v>0</v>
      </c>
      <c r="P50" s="340">
        <f t="shared" ca="1" si="10"/>
        <v>0</v>
      </c>
      <c r="Q50" s="341"/>
    </row>
    <row r="51" spans="2:20" ht="14.25" customHeight="1" x14ac:dyDescent="0.25">
      <c r="B51" s="4"/>
      <c r="E51" s="41"/>
      <c r="F51" s="41"/>
      <c r="G51" s="41"/>
      <c r="H51" s="41"/>
      <c r="I51" s="41"/>
      <c r="J51" s="41"/>
      <c r="K51" s="41"/>
      <c r="L51" s="41"/>
      <c r="M51" s="41"/>
      <c r="N51" s="41"/>
      <c r="O51" s="41"/>
      <c r="P51" s="41"/>
      <c r="Q51" s="46"/>
    </row>
    <row r="52" spans="2:20" ht="14.25" customHeight="1" x14ac:dyDescent="0.25">
      <c r="B52" s="4"/>
      <c r="C52" s="450" t="s">
        <v>31</v>
      </c>
      <c r="D52" s="451"/>
      <c r="E52" s="348"/>
      <c r="F52" s="348"/>
      <c r="G52" s="348"/>
      <c r="H52" s="348"/>
      <c r="I52" s="348"/>
      <c r="J52" s="348"/>
      <c r="K52" s="348"/>
      <c r="L52" s="348"/>
      <c r="M52" s="348"/>
      <c r="N52" s="348"/>
      <c r="O52" s="348"/>
      <c r="P52" s="348"/>
      <c r="Q52" s="349"/>
    </row>
    <row r="53" spans="2:20" ht="14.25" customHeight="1" x14ac:dyDescent="0.25">
      <c r="B53" s="4"/>
      <c r="C53" s="442" t="str">
        <f t="shared" ref="C53:C58" si="11">C15</f>
        <v xml:space="preserve"> Lening Qredits (minus behandelkosten)</v>
      </c>
      <c r="D53" s="501"/>
      <c r="E53" s="286">
        <f ca="1">IF(AND(YEAR('Investering &amp; Financiering'!$E$51)=Liquiditeit!$C48,MONTH('Investering &amp; Financiering'!$E$51)=E48),'Investering &amp; Financiering'!$E$49-'Qredits maandlasten'!$C$5,0)</f>
        <v>0</v>
      </c>
      <c r="F53" s="286">
        <f ca="1">IF(AND(YEAR('Investering &amp; Financiering'!$E$51)=Liquiditeit!$C48,MONTH('Investering &amp; Financiering'!$E$51)=F48),'Investering &amp; Financiering'!$E$49-'Qredits maandlasten'!$C$5,0)</f>
        <v>0</v>
      </c>
      <c r="G53" s="286">
        <f ca="1">IF(AND(YEAR('Investering &amp; Financiering'!$E$51)=Liquiditeit!$C48,MONTH('Investering &amp; Financiering'!$E$51)=G48),'Investering &amp; Financiering'!$E$49-'Qredits maandlasten'!$C$5,0)</f>
        <v>0</v>
      </c>
      <c r="H53" s="286">
        <f ca="1">IF(AND(YEAR('Investering &amp; Financiering'!$E$51)=Liquiditeit!$C48,MONTH('Investering &amp; Financiering'!$E$51)=H48),'Investering &amp; Financiering'!$E$49-'Qredits maandlasten'!$C$5,0)</f>
        <v>0</v>
      </c>
      <c r="I53" s="286">
        <f ca="1">IF(AND(YEAR('Investering &amp; Financiering'!$E$51)=Liquiditeit!$C48,MONTH('Investering &amp; Financiering'!$E$51)=I48),'Investering &amp; Financiering'!$E$49-'Qredits maandlasten'!$C$5,0)</f>
        <v>0</v>
      </c>
      <c r="J53" s="286">
        <f ca="1">IF(AND(YEAR('Investering &amp; Financiering'!$E$51)=Liquiditeit!$C48,MONTH('Investering &amp; Financiering'!$E$51)=J48),'Investering &amp; Financiering'!$E$49-'Qredits maandlasten'!$C$5,0)</f>
        <v>0</v>
      </c>
      <c r="K53" s="286">
        <f ca="1">IF(AND(YEAR('Investering &amp; Financiering'!$E$51)=Liquiditeit!$C48,MONTH('Investering &amp; Financiering'!$E$51)=K48),'Investering &amp; Financiering'!$E$49-'Qredits maandlasten'!$C$5,0)</f>
        <v>0</v>
      </c>
      <c r="L53" s="286">
        <f ca="1">IF(AND(YEAR('Investering &amp; Financiering'!$E$51)=Liquiditeit!$C48,MONTH('Investering &amp; Financiering'!$E$51)=L48),'Investering &amp; Financiering'!$E$49-'Qredits maandlasten'!$C$5,0)</f>
        <v>0</v>
      </c>
      <c r="M53" s="286">
        <f ca="1">IF(AND(YEAR('Investering &amp; Financiering'!$E$51)=Liquiditeit!$C48,MONTH('Investering &amp; Financiering'!$E$51)=M48),'Investering &amp; Financiering'!$E$49-'Qredits maandlasten'!$C$5,0)</f>
        <v>0</v>
      </c>
      <c r="N53" s="286">
        <f ca="1">IF(AND(YEAR('Investering &amp; Financiering'!$E$51)=Liquiditeit!$C48,MONTH('Investering &amp; Financiering'!$E$51)=N48),'Investering &amp; Financiering'!$E$49-'Qredits maandlasten'!$C$5,0)</f>
        <v>0</v>
      </c>
      <c r="O53" s="286">
        <f ca="1">IF(AND(YEAR('Investering &amp; Financiering'!$E$51)=Liquiditeit!$C48,MONTH('Investering &amp; Financiering'!$E$51)=O48),'Investering &amp; Financiering'!$E$49-'Qredits maandlasten'!$C$5,0)</f>
        <v>0</v>
      </c>
      <c r="P53" s="286">
        <f ca="1">IF(AND(YEAR('Investering &amp; Financiering'!$E$51)=Liquiditeit!$C48,MONTH('Investering &amp; Financiering'!$E$51)=P48),'Investering &amp; Financiering'!$E$49-'Qredits maandlasten'!$C$5,0)</f>
        <v>0</v>
      </c>
      <c r="Q53" s="342">
        <f t="shared" ref="Q53:Q59" ca="1" si="12">SUM(E53:P53)</f>
        <v>0</v>
      </c>
    </row>
    <row r="54" spans="2:20" ht="14.25" customHeight="1" x14ac:dyDescent="0.25">
      <c r="B54" s="4"/>
      <c r="C54" s="442" t="str">
        <f t="shared" si="11"/>
        <v xml:space="preserve"> Eigen Inbreng in contant</v>
      </c>
      <c r="D54" s="501"/>
      <c r="E54" s="286">
        <f ca="1">IF(AND(YEAR('Investering &amp; Financiering'!$E$51)=Liquiditeit!$C48,MONTH('Investering &amp; Financiering'!$E$51)=E48),'Investering &amp; Financiering'!$E$36,0)</f>
        <v>0</v>
      </c>
      <c r="F54" s="286">
        <f ca="1">IF(AND(YEAR('Investering &amp; Financiering'!$E$51)=Liquiditeit!$C48,MONTH('Investering &amp; Financiering'!$E$51)=F48),'Investering &amp; Financiering'!$E$36,0)</f>
        <v>0</v>
      </c>
      <c r="G54" s="286">
        <f ca="1">IF(AND(YEAR('Investering &amp; Financiering'!$E$51)=Liquiditeit!$C48,MONTH('Investering &amp; Financiering'!$E$51)=G48),'Investering &amp; Financiering'!$E$36,0)</f>
        <v>0</v>
      </c>
      <c r="H54" s="286">
        <f ca="1">IF(AND(YEAR('Investering &amp; Financiering'!$E$51)=Liquiditeit!$C48,MONTH('Investering &amp; Financiering'!$E$51)=H48),'Investering &amp; Financiering'!$E$36,0)</f>
        <v>0</v>
      </c>
      <c r="I54" s="286">
        <f ca="1">IF(AND(YEAR('Investering &amp; Financiering'!$E$51)=Liquiditeit!$C48,MONTH('Investering &amp; Financiering'!$E$51)=I48),'Investering &amp; Financiering'!$E$36,0)</f>
        <v>0</v>
      </c>
      <c r="J54" s="286">
        <f ca="1">IF(AND(YEAR('Investering &amp; Financiering'!$E$51)=Liquiditeit!$C48,MONTH('Investering &amp; Financiering'!$E$51)=J48),'Investering &amp; Financiering'!$E$36,0)</f>
        <v>0</v>
      </c>
      <c r="K54" s="286">
        <f ca="1">IF(AND(YEAR('Investering &amp; Financiering'!$E$51)=Liquiditeit!$C48,MONTH('Investering &amp; Financiering'!$E$51)=K48),'Investering &amp; Financiering'!$E$36,0)</f>
        <v>0</v>
      </c>
      <c r="L54" s="286">
        <f ca="1">IF(AND(YEAR('Investering &amp; Financiering'!$E$51)=Liquiditeit!$C48,MONTH('Investering &amp; Financiering'!$E$51)=L48),'Investering &amp; Financiering'!$E$36,0)</f>
        <v>0</v>
      </c>
      <c r="M54" s="286">
        <f ca="1">IF(AND(YEAR('Investering &amp; Financiering'!$E$51)=Liquiditeit!$C48,MONTH('Investering &amp; Financiering'!$E$51)=M48),'Investering &amp; Financiering'!$E$36,0)</f>
        <v>0</v>
      </c>
      <c r="N54" s="286">
        <f ca="1">IF(AND(YEAR('Investering &amp; Financiering'!$E$51)=Liquiditeit!$C48,MONTH('Investering &amp; Financiering'!$E$51)=N48),'Investering &amp; Financiering'!$E$36,0)</f>
        <v>0</v>
      </c>
      <c r="O54" s="286">
        <f ca="1">IF(AND(YEAR('Investering &amp; Financiering'!$E$51)=Liquiditeit!$C48,MONTH('Investering &amp; Financiering'!$E$51)=O48),'Investering &amp; Financiering'!$E$36,0)</f>
        <v>0</v>
      </c>
      <c r="P54" s="286">
        <f ca="1">IF(AND(YEAR('Investering &amp; Financiering'!$E$51)=Liquiditeit!$C48,MONTH('Investering &amp; Financiering'!$E$51)=P48),'Investering &amp; Financiering'!$E$36,0)</f>
        <v>0</v>
      </c>
      <c r="Q54" s="342">
        <f t="shared" ca="1" si="12"/>
        <v>0</v>
      </c>
    </row>
    <row r="55" spans="2:20" ht="14.25" customHeight="1" x14ac:dyDescent="0.25">
      <c r="B55" s="4"/>
      <c r="C55" s="442" t="str">
        <f t="shared" si="11"/>
        <v xml:space="preserve"> Achtergesteld vermogen</v>
      </c>
      <c r="D55" s="501"/>
      <c r="E55" s="286">
        <f ca="1">IF(AND(YEAR('Investering &amp; Financiering'!$E$51)=Liquiditeit!$C48,MONTH('Investering &amp; Financiering'!$E$51)=E48),'Investering &amp; Financiering'!$E$37,0)</f>
        <v>0</v>
      </c>
      <c r="F55" s="286">
        <f ca="1">IF(AND(YEAR('Investering &amp; Financiering'!$E$51)=Liquiditeit!$C48,MONTH('Investering &amp; Financiering'!$E$51)=F48),'Investering &amp; Financiering'!$E$37,0)</f>
        <v>0</v>
      </c>
      <c r="G55" s="286">
        <f ca="1">IF(AND(YEAR('Investering &amp; Financiering'!$E$51)=Liquiditeit!$C48,MONTH('Investering &amp; Financiering'!$E$51)=G48),'Investering &amp; Financiering'!$E$37,0)</f>
        <v>0</v>
      </c>
      <c r="H55" s="286">
        <f ca="1">IF(AND(YEAR('Investering &amp; Financiering'!$E$51)=Liquiditeit!$C48,MONTH('Investering &amp; Financiering'!$E$51)=H48),'Investering &amp; Financiering'!$E$37,0)</f>
        <v>0</v>
      </c>
      <c r="I55" s="286">
        <f ca="1">IF(AND(YEAR('Investering &amp; Financiering'!$E$51)=Liquiditeit!$C48,MONTH('Investering &amp; Financiering'!$E$51)=I48),'Investering &amp; Financiering'!$E$37,0)</f>
        <v>0</v>
      </c>
      <c r="J55" s="286">
        <f ca="1">IF(AND(YEAR('Investering &amp; Financiering'!$E$51)=Liquiditeit!$C48,MONTH('Investering &amp; Financiering'!$E$51)=J48),'Investering &amp; Financiering'!$E$37,0)</f>
        <v>0</v>
      </c>
      <c r="K55" s="286">
        <f ca="1">IF(AND(YEAR('Investering &amp; Financiering'!$E$51)=Liquiditeit!$C48,MONTH('Investering &amp; Financiering'!$E$51)=K48),'Investering &amp; Financiering'!$E$37,0)</f>
        <v>0</v>
      </c>
      <c r="L55" s="286">
        <f ca="1">IF(AND(YEAR('Investering &amp; Financiering'!$E$51)=Liquiditeit!$C48,MONTH('Investering &amp; Financiering'!$E$51)=L48),'Investering &amp; Financiering'!$E$37,0)</f>
        <v>0</v>
      </c>
      <c r="M55" s="286">
        <f ca="1">IF(AND(YEAR('Investering &amp; Financiering'!$E$51)=Liquiditeit!$C48,MONTH('Investering &amp; Financiering'!$E$51)=M48),'Investering &amp; Financiering'!$E$37,0)</f>
        <v>0</v>
      </c>
      <c r="N55" s="286">
        <f ca="1">IF(AND(YEAR('Investering &amp; Financiering'!$E$51)=Liquiditeit!$C48,MONTH('Investering &amp; Financiering'!$E$51)=N48),'Investering &amp; Financiering'!$E$37,0)</f>
        <v>0</v>
      </c>
      <c r="O55" s="286">
        <f ca="1">IF(AND(YEAR('Investering &amp; Financiering'!$E$51)=Liquiditeit!$C48,MONTH('Investering &amp; Financiering'!$E$51)=O48),'Investering &amp; Financiering'!$E$37,0)</f>
        <v>0</v>
      </c>
      <c r="P55" s="286">
        <f ca="1">IF(AND(YEAR('Investering &amp; Financiering'!$E$51)=Liquiditeit!$C48,MONTH('Investering &amp; Financiering'!$E$51)=P48),'Investering &amp; Financiering'!$E$37,0)</f>
        <v>0</v>
      </c>
      <c r="Q55" s="342">
        <f t="shared" ca="1" si="12"/>
        <v>0</v>
      </c>
    </row>
    <row r="56" spans="2:20" ht="14.25" customHeight="1" x14ac:dyDescent="0.25">
      <c r="B56" s="4"/>
      <c r="C56" s="442" t="str">
        <f t="shared" si="11"/>
        <v xml:space="preserve"> Lening(en) elders</v>
      </c>
      <c r="D56" s="501"/>
      <c r="E56" s="286">
        <f ca="1">IF(AND(YEAR('Investering &amp; Financiering'!$E$45)=Liquiditeit!$C48,MONTH('Investering &amp; Financiering'!$E$45)=E48),'Investering &amp; Financiering'!$E$38,0)</f>
        <v>0</v>
      </c>
      <c r="F56" s="286">
        <f ca="1">IF(AND(YEAR('Investering &amp; Financiering'!$E$45)=Liquiditeit!$C48,MONTH('Investering &amp; Financiering'!$E$45)=F48),'Investering &amp; Financiering'!$E$38,0)</f>
        <v>0</v>
      </c>
      <c r="G56" s="286">
        <f ca="1">IF(AND(YEAR('Investering &amp; Financiering'!$E$45)=Liquiditeit!$C48,MONTH('Investering &amp; Financiering'!$E$45)=G48),'Investering &amp; Financiering'!$E$38,0)</f>
        <v>0</v>
      </c>
      <c r="H56" s="286">
        <f ca="1">IF(AND(YEAR('Investering &amp; Financiering'!$E$45)=Liquiditeit!$C48,MONTH('Investering &amp; Financiering'!$E$45)=H48),'Investering &amp; Financiering'!$E$38,0)</f>
        <v>0</v>
      </c>
      <c r="I56" s="286">
        <f ca="1">IF(AND(YEAR('Investering &amp; Financiering'!$E$45)=Liquiditeit!$C48,MONTH('Investering &amp; Financiering'!$E$45)=I48),'Investering &amp; Financiering'!$E$38,0)</f>
        <v>0</v>
      </c>
      <c r="J56" s="286">
        <f ca="1">IF(AND(YEAR('Investering &amp; Financiering'!$E$45)=Liquiditeit!$C48,MONTH('Investering &amp; Financiering'!$E$45)=J48),'Investering &amp; Financiering'!$E$38,0)</f>
        <v>0</v>
      </c>
      <c r="K56" s="286">
        <f ca="1">IF(AND(YEAR('Investering &amp; Financiering'!$E$45)=Liquiditeit!$C48,MONTH('Investering &amp; Financiering'!$E$45)=K48),'Investering &amp; Financiering'!$E$38,0)</f>
        <v>0</v>
      </c>
      <c r="L56" s="286">
        <f ca="1">IF(AND(YEAR('Investering &amp; Financiering'!$E$45)=Liquiditeit!$C48,MONTH('Investering &amp; Financiering'!$E$45)=L48),'Investering &amp; Financiering'!$E$38,0)</f>
        <v>0</v>
      </c>
      <c r="M56" s="286">
        <f ca="1">IF(AND(YEAR('Investering &amp; Financiering'!$E$45)=Liquiditeit!$C48,MONTH('Investering &amp; Financiering'!$E$45)=M48),'Investering &amp; Financiering'!$E$38,0)</f>
        <v>0</v>
      </c>
      <c r="N56" s="286">
        <f ca="1">IF(AND(YEAR('Investering &amp; Financiering'!$E$45)=Liquiditeit!$C48,MONTH('Investering &amp; Financiering'!$E$45)=N48),'Investering &amp; Financiering'!$E$38,0)</f>
        <v>0</v>
      </c>
      <c r="O56" s="286">
        <f ca="1">IF(AND(YEAR('Investering &amp; Financiering'!$E$45)=Liquiditeit!$C48,MONTH('Investering &amp; Financiering'!$E$45)=O48),'Investering &amp; Financiering'!$E$38,0)</f>
        <v>0</v>
      </c>
      <c r="P56" s="286">
        <f ca="1">IF(AND(YEAR('Investering &amp; Financiering'!$E$45)=Liquiditeit!$C48,MONTH('Investering &amp; Financiering'!$E$45)=P48),'Investering &amp; Financiering'!$E$38,0)</f>
        <v>0</v>
      </c>
      <c r="Q56" s="342">
        <f t="shared" ca="1" si="12"/>
        <v>0</v>
      </c>
    </row>
    <row r="57" spans="2:20" ht="14.25" customHeight="1" x14ac:dyDescent="0.25">
      <c r="B57" s="4"/>
      <c r="C57" s="442" t="str">
        <f t="shared" si="11"/>
        <v xml:space="preserve"> Omzet ex. BTW</v>
      </c>
      <c r="D57" s="443"/>
      <c r="E57" s="286">
        <f>Verkoop!E64</f>
        <v>0</v>
      </c>
      <c r="F57" s="286">
        <f>Verkoop!F64</f>
        <v>0</v>
      </c>
      <c r="G57" s="286">
        <f>Verkoop!G64</f>
        <v>0</v>
      </c>
      <c r="H57" s="286">
        <f>Verkoop!H64</f>
        <v>0</v>
      </c>
      <c r="I57" s="286">
        <f>Verkoop!I64</f>
        <v>0</v>
      </c>
      <c r="J57" s="286">
        <f>Verkoop!J64</f>
        <v>0</v>
      </c>
      <c r="K57" s="286">
        <f>Verkoop!K64</f>
        <v>0</v>
      </c>
      <c r="L57" s="286">
        <f>Verkoop!L64</f>
        <v>0</v>
      </c>
      <c r="M57" s="286">
        <f>Verkoop!M64</f>
        <v>0</v>
      </c>
      <c r="N57" s="286">
        <f>Verkoop!N64</f>
        <v>0</v>
      </c>
      <c r="O57" s="286">
        <f>Verkoop!O64</f>
        <v>0</v>
      </c>
      <c r="P57" s="286">
        <f>Verkoop!P64</f>
        <v>0</v>
      </c>
      <c r="Q57" s="342">
        <f t="shared" si="12"/>
        <v>0</v>
      </c>
    </row>
    <row r="58" spans="2:20" ht="14.25" customHeight="1" x14ac:dyDescent="0.25">
      <c r="B58" s="4"/>
      <c r="C58" s="442" t="str">
        <f t="shared" si="11"/>
        <v xml:space="preserve"> BTW</v>
      </c>
      <c r="D58" s="443"/>
      <c r="E58" s="286">
        <f>Verkoop!E65</f>
        <v>0</v>
      </c>
      <c r="F58" s="286">
        <f>Verkoop!F65</f>
        <v>0</v>
      </c>
      <c r="G58" s="286">
        <f>Verkoop!G65</f>
        <v>0</v>
      </c>
      <c r="H58" s="286">
        <f>Verkoop!H65</f>
        <v>0</v>
      </c>
      <c r="I58" s="286">
        <f>Verkoop!I65</f>
        <v>0</v>
      </c>
      <c r="J58" s="286">
        <f>Verkoop!J65</f>
        <v>0</v>
      </c>
      <c r="K58" s="286">
        <f>Verkoop!K65</f>
        <v>0</v>
      </c>
      <c r="L58" s="286">
        <f>Verkoop!L65</f>
        <v>0</v>
      </c>
      <c r="M58" s="286">
        <f>Verkoop!M65</f>
        <v>0</v>
      </c>
      <c r="N58" s="286">
        <f>Verkoop!N65</f>
        <v>0</v>
      </c>
      <c r="O58" s="286">
        <f>Verkoop!O65</f>
        <v>0</v>
      </c>
      <c r="P58" s="286">
        <f>Verkoop!P65</f>
        <v>0</v>
      </c>
      <c r="Q58" s="342">
        <f t="shared" si="12"/>
        <v>0</v>
      </c>
    </row>
    <row r="59" spans="2:20" ht="14.25" customHeight="1" x14ac:dyDescent="0.25">
      <c r="B59" s="4"/>
      <c r="C59" s="440" t="s">
        <v>35</v>
      </c>
      <c r="D59" s="441"/>
      <c r="E59" s="343">
        <f t="shared" ref="E59:P59" ca="1" si="13">SUM(E53:E58)</f>
        <v>0</v>
      </c>
      <c r="F59" s="343">
        <f t="shared" ca="1" si="13"/>
        <v>0</v>
      </c>
      <c r="G59" s="343">
        <f t="shared" ca="1" si="13"/>
        <v>0</v>
      </c>
      <c r="H59" s="343">
        <f t="shared" ca="1" si="13"/>
        <v>0</v>
      </c>
      <c r="I59" s="343">
        <f t="shared" ca="1" si="13"/>
        <v>0</v>
      </c>
      <c r="J59" s="343">
        <f t="shared" ca="1" si="13"/>
        <v>0</v>
      </c>
      <c r="K59" s="343">
        <f t="shared" ca="1" si="13"/>
        <v>0</v>
      </c>
      <c r="L59" s="343">
        <f t="shared" ca="1" si="13"/>
        <v>0</v>
      </c>
      <c r="M59" s="343">
        <f t="shared" ca="1" si="13"/>
        <v>0</v>
      </c>
      <c r="N59" s="343">
        <f t="shared" ca="1" si="13"/>
        <v>0</v>
      </c>
      <c r="O59" s="343">
        <f t="shared" ca="1" si="13"/>
        <v>0</v>
      </c>
      <c r="P59" s="343">
        <f t="shared" ca="1" si="13"/>
        <v>0</v>
      </c>
      <c r="Q59" s="342">
        <f t="shared" ca="1" si="12"/>
        <v>0</v>
      </c>
    </row>
    <row r="60" spans="2:20" ht="14.25" customHeight="1" x14ac:dyDescent="0.25">
      <c r="B60" s="4"/>
    </row>
    <row r="61" spans="2:20" ht="14.25" customHeight="1" x14ac:dyDescent="0.25">
      <c r="B61" s="4"/>
      <c r="C61" s="432" t="s">
        <v>36</v>
      </c>
      <c r="D61" s="433"/>
      <c r="E61" s="350"/>
      <c r="F61" s="350"/>
      <c r="G61" s="350"/>
      <c r="H61" s="350"/>
      <c r="I61" s="350"/>
      <c r="J61" s="350"/>
      <c r="K61" s="350"/>
      <c r="L61" s="350"/>
      <c r="M61" s="350"/>
      <c r="N61" s="350"/>
      <c r="O61" s="350"/>
      <c r="P61" s="350"/>
      <c r="Q61" s="262"/>
    </row>
    <row r="62" spans="2:20" ht="14.25" customHeight="1" x14ac:dyDescent="0.25">
      <c r="B62" s="4"/>
      <c r="C62" s="442" t="s">
        <v>212</v>
      </c>
      <c r="D62" s="443">
        <f>D28</f>
        <v>0</v>
      </c>
      <c r="E62" s="286">
        <f ca="1">IF(AND(YEAR('Investering &amp; Financiering'!$E$51)=Liquiditeit!$C48,MONTH('Investering &amp; Financiering'!$E$51)=E48),SUM('Investering &amp; Financiering'!$F$9:$F$15)+'Investering &amp; Financiering'!$F$21,0)</f>
        <v>0</v>
      </c>
      <c r="F62" s="286">
        <f ca="1">IF(AND(YEAR('Investering &amp; Financiering'!$E$51)=Liquiditeit!$C48,MONTH('Investering &amp; Financiering'!$E$51)=F48),SUM('Investering &amp; Financiering'!$F$9:$F$15)+'Investering &amp; Financiering'!$F$21,0)</f>
        <v>0</v>
      </c>
      <c r="G62" s="286">
        <f ca="1">IF(AND(YEAR('Investering &amp; Financiering'!$E$51)=Liquiditeit!$C48,MONTH('Investering &amp; Financiering'!$E$51)=G48),SUM('Investering &amp; Financiering'!$F$9:$F$15)+'Investering &amp; Financiering'!$F$21,0)</f>
        <v>0</v>
      </c>
      <c r="H62" s="286">
        <f ca="1">IF(AND(YEAR('Investering &amp; Financiering'!$E$51)=Liquiditeit!$C48,MONTH('Investering &amp; Financiering'!$E$51)=H48),SUM('Investering &amp; Financiering'!$F$9:$F$15)+'Investering &amp; Financiering'!$F$21,0)</f>
        <v>0</v>
      </c>
      <c r="I62" s="286">
        <f ca="1">IF(AND(YEAR('Investering &amp; Financiering'!$E$51)=Liquiditeit!$C48,MONTH('Investering &amp; Financiering'!$E$51)=I48),SUM('Investering &amp; Financiering'!$F$9:$F$15)+'Investering &amp; Financiering'!$F$21,0)</f>
        <v>0</v>
      </c>
      <c r="J62" s="286">
        <f ca="1">IF(AND(YEAR('Investering &amp; Financiering'!$E$51)=Liquiditeit!$C48,MONTH('Investering &amp; Financiering'!$E$51)=J48),SUM('Investering &amp; Financiering'!$F$9:$F$15)+'Investering &amp; Financiering'!$F$21,0)</f>
        <v>0</v>
      </c>
      <c r="K62" s="286">
        <f ca="1">IF(AND(YEAR('Investering &amp; Financiering'!$E$51)=Liquiditeit!$C48,MONTH('Investering &amp; Financiering'!$E$51)=K48),SUM('Investering &amp; Financiering'!$F$9:$F$15)+'Investering &amp; Financiering'!$F$21,0)</f>
        <v>0</v>
      </c>
      <c r="L62" s="286">
        <f ca="1">IF(AND(YEAR('Investering &amp; Financiering'!$E$51)=Liquiditeit!$C48,MONTH('Investering &amp; Financiering'!$E$51)=L48),SUM('Investering &amp; Financiering'!$F$9:$F$15)+'Investering &amp; Financiering'!$F$21,0)</f>
        <v>0</v>
      </c>
      <c r="M62" s="286">
        <f ca="1">IF(AND(YEAR('Investering &amp; Financiering'!$E$51)=Liquiditeit!$C48,MONTH('Investering &amp; Financiering'!$E$51)=M48),SUM('Investering &amp; Financiering'!$F$9:$F$15)+'Investering &amp; Financiering'!$F$21,0)</f>
        <v>0</v>
      </c>
      <c r="N62" s="286">
        <f ca="1">IF(AND(YEAR('Investering &amp; Financiering'!$E$51)=Liquiditeit!$C48,MONTH('Investering &amp; Financiering'!$E$51)=N48),SUM('Investering &amp; Financiering'!$F$9:$F$15)+'Investering &amp; Financiering'!$F$21,0)</f>
        <v>0</v>
      </c>
      <c r="O62" s="286">
        <f ca="1">IF(AND(YEAR('Investering &amp; Financiering'!$E$51)=Liquiditeit!$C48,MONTH('Investering &amp; Financiering'!$E$51)=O48),SUM('Investering &amp; Financiering'!$F$9:$F$15)+'Investering &amp; Financiering'!$F$21,0)</f>
        <v>0</v>
      </c>
      <c r="P62" s="286">
        <f ca="1">IF(AND(YEAR('Investering &amp; Financiering'!$E$51)=Liquiditeit!$C48,MONTH('Investering &amp; Financiering'!$E$51)=P48),SUM('Investering &amp; Financiering'!$F$9:$F$15)+'Investering &amp; Financiering'!$F$21,0)</f>
        <v>0</v>
      </c>
      <c r="Q62" s="342">
        <f t="shared" ref="Q62:Q78" ca="1" si="14">SUM(E62:P62)</f>
        <v>0</v>
      </c>
    </row>
    <row r="63" spans="2:20" ht="14.25" customHeight="1" x14ac:dyDescent="0.25">
      <c r="B63" s="4"/>
      <c r="C63" s="442" t="s">
        <v>468</v>
      </c>
      <c r="D63" s="443"/>
      <c r="E63" s="286">
        <f ca="1">IF(AND(YEAR('Investering &amp; Financiering'!$E$51)=Liquiditeit!$C$48,MONTH('Investering &amp; Financiering'!$E$51)=E$10),'Investering &amp; Financiering'!$F$23,0)</f>
        <v>0</v>
      </c>
      <c r="F63" s="286">
        <f ca="1">IF(AND(YEAR('Investering &amp; Financiering'!$E$51)=Liquiditeit!$C$48,MONTH('Investering &amp; Financiering'!$E$51)=F$10),'Investering &amp; Financiering'!$F$23,0)</f>
        <v>0</v>
      </c>
      <c r="G63" s="286">
        <f ca="1">IF(AND(YEAR('Investering &amp; Financiering'!$E$51)=Liquiditeit!$C$48,MONTH('Investering &amp; Financiering'!$E$51)=G$10),'Investering &amp; Financiering'!$F$23,0)</f>
        <v>0</v>
      </c>
      <c r="H63" s="286">
        <f ca="1">IF(AND(YEAR('Investering &amp; Financiering'!$E$51)=Liquiditeit!$C$48,MONTH('Investering &amp; Financiering'!$E$51)=H$10),'Investering &amp; Financiering'!$F$23,0)</f>
        <v>0</v>
      </c>
      <c r="I63" s="286">
        <f ca="1">IF(AND(YEAR('Investering &amp; Financiering'!$E$51)=Liquiditeit!$C$48,MONTH('Investering &amp; Financiering'!$E$51)=I$10),'Investering &amp; Financiering'!$F$23,0)</f>
        <v>0</v>
      </c>
      <c r="J63" s="286">
        <f ca="1">IF(AND(YEAR('Investering &amp; Financiering'!$E$51)=Liquiditeit!$C$48,MONTH('Investering &amp; Financiering'!$E$51)=J$10),'Investering &amp; Financiering'!$F$23,0)</f>
        <v>0</v>
      </c>
      <c r="K63" s="286">
        <f ca="1">IF(AND(YEAR('Investering &amp; Financiering'!$E$51)=Liquiditeit!$C$48,MONTH('Investering &amp; Financiering'!$E$51)=K$10),'Investering &amp; Financiering'!$F$23,0)</f>
        <v>0</v>
      </c>
      <c r="L63" s="286">
        <f ca="1">IF(AND(YEAR('Investering &amp; Financiering'!$E$51)=Liquiditeit!$C$48,MONTH('Investering &amp; Financiering'!$E$51)=L$10),'Investering &amp; Financiering'!$F$23,0)</f>
        <v>0</v>
      </c>
      <c r="M63" s="286">
        <f ca="1">IF(AND(YEAR('Investering &amp; Financiering'!$E$51)=Liquiditeit!$C$48,MONTH('Investering &amp; Financiering'!$E$51)=M$10),'Investering &amp; Financiering'!$F$23,0)</f>
        <v>0</v>
      </c>
      <c r="N63" s="286">
        <f ca="1">IF(AND(YEAR('Investering &amp; Financiering'!$E$51)=Liquiditeit!$C$48,MONTH('Investering &amp; Financiering'!$E$51)=N$10),'Investering &amp; Financiering'!$F$23,0)</f>
        <v>0</v>
      </c>
      <c r="O63" s="286">
        <f ca="1">IF(AND(YEAR('Investering &amp; Financiering'!$E$51)=Liquiditeit!$C$48,MONTH('Investering &amp; Financiering'!$E$51)=O$10),'Investering &amp; Financiering'!$F$23,0)</f>
        <v>0</v>
      </c>
      <c r="P63" s="286">
        <f ca="1">IF(AND(YEAR('Investering &amp; Financiering'!$E$51)=Liquiditeit!$C$48,MONTH('Investering &amp; Financiering'!$E$51)=P$10),'Investering &amp; Financiering'!$F$23,0)</f>
        <v>0</v>
      </c>
      <c r="Q63" s="342">
        <f ca="1">SUM(E63:P63)</f>
        <v>0</v>
      </c>
    </row>
    <row r="64" spans="2:20" ht="14.25" customHeight="1" x14ac:dyDescent="0.25">
      <c r="B64" s="4"/>
      <c r="C64" s="442" t="str">
        <f>C26</f>
        <v xml:space="preserve"> Inkoop voorraad</v>
      </c>
      <c r="D64" s="443"/>
      <c r="E64" s="286">
        <f ca="1">Inkoop!E74-IF(AND(YEAR('Investering &amp; Financiering'!$E$51)=Liquiditeit!$C48,MONTH('Investering &amp; Financiering'!$E$51)=E48),'Investering &amp; Financiering'!$D$18+'Investering &amp; Financiering'!$E$18,0)</f>
        <v>0</v>
      </c>
      <c r="F64" s="286">
        <f ca="1">Inkoop!F74-IF(AND(YEAR('Investering &amp; Financiering'!$E$51)=Liquiditeit!$C48,MONTH('Investering &amp; Financiering'!$E$51)=F48),'Investering &amp; Financiering'!$D$18+'Investering &amp; Financiering'!$E$18,0)</f>
        <v>0</v>
      </c>
      <c r="G64" s="286">
        <f ca="1">Inkoop!G74-IF(AND(YEAR('Investering &amp; Financiering'!$E$51)=Liquiditeit!$C48,MONTH('Investering &amp; Financiering'!$E$51)=G48),'Investering &amp; Financiering'!$D$18+'Investering &amp; Financiering'!$E$18,0)</f>
        <v>0</v>
      </c>
      <c r="H64" s="286">
        <f ca="1">Inkoop!H74-IF(AND(YEAR('Investering &amp; Financiering'!$E$51)=Liquiditeit!$C48,MONTH('Investering &amp; Financiering'!$E$51)=H48),'Investering &amp; Financiering'!$D$18+'Investering &amp; Financiering'!$E$18,0)</f>
        <v>0</v>
      </c>
      <c r="I64" s="286">
        <f ca="1">Inkoop!I74-IF(AND(YEAR('Investering &amp; Financiering'!$E$51)=Liquiditeit!$C48,MONTH('Investering &amp; Financiering'!$E$51)=I48),'Investering &amp; Financiering'!$D$18+'Investering &amp; Financiering'!$E$18,0)</f>
        <v>0</v>
      </c>
      <c r="J64" s="286">
        <f ca="1">Inkoop!J74-IF(AND(YEAR('Investering &amp; Financiering'!$E$51)=Liquiditeit!$C48,MONTH('Investering &amp; Financiering'!$E$51)=J48),'Investering &amp; Financiering'!$D$18+'Investering &amp; Financiering'!$E$18,0)</f>
        <v>0</v>
      </c>
      <c r="K64" s="286">
        <f ca="1">Inkoop!K74-IF(AND(YEAR('Investering &amp; Financiering'!$E$51)=Liquiditeit!$C48,MONTH('Investering &amp; Financiering'!$E$51)=K48),'Investering &amp; Financiering'!$D$18+'Investering &amp; Financiering'!$E$18,0)</f>
        <v>0</v>
      </c>
      <c r="L64" s="286">
        <f ca="1">Inkoop!L74-IF(AND(YEAR('Investering &amp; Financiering'!$E$51)=Liquiditeit!$C48,MONTH('Investering &amp; Financiering'!$E$51)=L48),'Investering &amp; Financiering'!$D$18+'Investering &amp; Financiering'!$E$18,0)</f>
        <v>0</v>
      </c>
      <c r="M64" s="286">
        <f ca="1">Inkoop!M74-IF(AND(YEAR('Investering &amp; Financiering'!$E$51)=Liquiditeit!$C48,MONTH('Investering &amp; Financiering'!$E$51)=M48),'Investering &amp; Financiering'!$D$18+'Investering &amp; Financiering'!$E$18,0)</f>
        <v>0</v>
      </c>
      <c r="N64" s="286">
        <f ca="1">Inkoop!N74-IF(AND(YEAR('Investering &amp; Financiering'!$E$51)=Liquiditeit!$C48,MONTH('Investering &amp; Financiering'!$E$51)=N48),'Investering &amp; Financiering'!$D$18+'Investering &amp; Financiering'!$E$18,0)</f>
        <v>0</v>
      </c>
      <c r="O64" s="286">
        <f ca="1">Inkoop!O74-IF(AND(YEAR('Investering &amp; Financiering'!$E$51)=Liquiditeit!$C48,MONTH('Investering &amp; Financiering'!$E$51)=O48),'Investering &amp; Financiering'!$D$18+'Investering &amp; Financiering'!$E$18,0)</f>
        <v>0</v>
      </c>
      <c r="P64" s="286">
        <f ca="1">Inkoop!P74-IF(AND(YEAR('Investering &amp; Financiering'!$E$51)=Liquiditeit!$C48,MONTH('Investering &amp; Financiering'!$E$51)=P48),'Investering &amp; Financiering'!$D$18+'Investering &amp; Financiering'!$E$18,0)</f>
        <v>0</v>
      </c>
      <c r="Q64" s="342">
        <f t="shared" ca="1" si="14"/>
        <v>0</v>
      </c>
      <c r="S64" s="88"/>
      <c r="T64" s="89"/>
    </row>
    <row r="65" spans="2:20" ht="14.25" customHeight="1" x14ac:dyDescent="0.25">
      <c r="B65" s="4"/>
      <c r="C65" s="442" t="str">
        <f>C27</f>
        <v xml:space="preserve"> BTW inkoop voorraad</v>
      </c>
      <c r="D65" s="443"/>
      <c r="E65" s="286">
        <f ca="1">Inkoop!E75-IF(AND(YEAR('Investering &amp; Financiering'!$E$51)=Liquiditeit!$C48,MONTH('Investering &amp; Financiering'!$E$51)=E48),('Investering &amp; Financiering'!$D$18+'Investering &amp; Financiering'!$E$18)*Inkoop!$D$16,0)</f>
        <v>0</v>
      </c>
      <c r="F65" s="286">
        <f ca="1">Inkoop!F75-IF(AND(YEAR('Investering &amp; Financiering'!$E$51)=Liquiditeit!$C48,MONTH('Investering &amp; Financiering'!$E$51)=F48),('Investering &amp; Financiering'!$D$18+'Investering &amp; Financiering'!$E$18)*Inkoop!$D$16,0)</f>
        <v>0</v>
      </c>
      <c r="G65" s="286">
        <f ca="1">Inkoop!G75-IF(AND(YEAR('Investering &amp; Financiering'!$E$51)=Liquiditeit!$C48,MONTH('Investering &amp; Financiering'!$E$51)=G48),('Investering &amp; Financiering'!$D$18+'Investering &amp; Financiering'!$E$18)*Inkoop!$D$16,0)</f>
        <v>0</v>
      </c>
      <c r="H65" s="286">
        <f ca="1">Inkoop!H75-IF(AND(YEAR('Investering &amp; Financiering'!$E$51)=Liquiditeit!$C48,MONTH('Investering &amp; Financiering'!$E$51)=H48),('Investering &amp; Financiering'!$D$18+'Investering &amp; Financiering'!$E$18)*Inkoop!$D$16,0)</f>
        <v>0</v>
      </c>
      <c r="I65" s="286">
        <f ca="1">Inkoop!I75-IF(AND(YEAR('Investering &amp; Financiering'!$E$51)=Liquiditeit!$C48,MONTH('Investering &amp; Financiering'!$E$51)=I48),('Investering &amp; Financiering'!$D$18+'Investering &amp; Financiering'!$E$18)*Inkoop!$D$16,0)</f>
        <v>0</v>
      </c>
      <c r="J65" s="286">
        <f ca="1">Inkoop!J75-IF(AND(YEAR('Investering &amp; Financiering'!$E$51)=Liquiditeit!$C48,MONTH('Investering &amp; Financiering'!$E$51)=J48),('Investering &amp; Financiering'!$D$18+'Investering &amp; Financiering'!$E$18)*Inkoop!$D$16,0)</f>
        <v>0</v>
      </c>
      <c r="K65" s="286">
        <f ca="1">Inkoop!K75-IF(AND(YEAR('Investering &amp; Financiering'!$E$51)=Liquiditeit!$C48,MONTH('Investering &amp; Financiering'!$E$51)=K48),('Investering &amp; Financiering'!$D$18+'Investering &amp; Financiering'!$E$18)*Inkoop!$D$16,0)</f>
        <v>0</v>
      </c>
      <c r="L65" s="286">
        <f ca="1">Inkoop!L75-IF(AND(YEAR('Investering &amp; Financiering'!$E$51)=Liquiditeit!$C48,MONTH('Investering &amp; Financiering'!$E$51)=L48),('Investering &amp; Financiering'!$D$18+'Investering &amp; Financiering'!$E$18)*Inkoop!$D$16,0)</f>
        <v>0</v>
      </c>
      <c r="M65" s="286">
        <f ca="1">Inkoop!M75-IF(AND(YEAR('Investering &amp; Financiering'!$E$51)=Liquiditeit!$C48,MONTH('Investering &amp; Financiering'!$E$51)=M48),('Investering &amp; Financiering'!$D$18+'Investering &amp; Financiering'!$E$18)*Inkoop!$D$16,0)</f>
        <v>0</v>
      </c>
      <c r="N65" s="286">
        <f ca="1">Inkoop!N75-IF(AND(YEAR('Investering &amp; Financiering'!$E$51)=Liquiditeit!$C48,MONTH('Investering &amp; Financiering'!$E$51)=N48),('Investering &amp; Financiering'!$D$18+'Investering &amp; Financiering'!$E$18)*Inkoop!$D$16,0)</f>
        <v>0</v>
      </c>
      <c r="O65" s="286">
        <f ca="1">Inkoop!O75-IF(AND(YEAR('Investering &amp; Financiering'!$E$51)=Liquiditeit!$C48,MONTH('Investering &amp; Financiering'!$E$51)=O48),('Investering &amp; Financiering'!$D$18+'Investering &amp; Financiering'!$E$18)*Inkoop!$D$16,0)</f>
        <v>0</v>
      </c>
      <c r="P65" s="286">
        <f ca="1">Inkoop!P75-IF(AND(YEAR('Investering &amp; Financiering'!$E$51)=Liquiditeit!$C48,MONTH('Investering &amp; Financiering'!$E$51)=P48),('Investering &amp; Financiering'!$D$18+'Investering &amp; Financiering'!$E$18)*Inkoop!$D$16,0)</f>
        <v>0</v>
      </c>
      <c r="Q65" s="342">
        <f t="shared" ca="1" si="14"/>
        <v>0</v>
      </c>
      <c r="S65" s="88"/>
      <c r="T65" s="89"/>
    </row>
    <row r="66" spans="2:20" ht="14.25" customHeight="1" x14ac:dyDescent="0.25">
      <c r="B66" s="4"/>
      <c r="C66" s="442" t="str">
        <f>C28</f>
        <v xml:space="preserve"> Personeelskosten</v>
      </c>
      <c r="D66" s="443"/>
      <c r="E66" s="344"/>
      <c r="F66" s="344"/>
      <c r="G66" s="344"/>
      <c r="H66" s="344"/>
      <c r="I66" s="344"/>
      <c r="J66" s="344"/>
      <c r="K66" s="344"/>
      <c r="L66" s="344"/>
      <c r="M66" s="344"/>
      <c r="N66" s="344"/>
      <c r="O66" s="344"/>
      <c r="P66" s="344"/>
      <c r="Q66" s="342">
        <f t="shared" si="14"/>
        <v>0</v>
      </c>
      <c r="S66" s="90"/>
      <c r="T66" s="86"/>
    </row>
    <row r="67" spans="2:20" ht="14.25" customHeight="1" x14ac:dyDescent="0.25">
      <c r="B67" s="4"/>
      <c r="C67" s="442" t="str">
        <f t="shared" ref="C67:C76" si="15">C29</f>
        <v xml:space="preserve"> Huisvestingskosten</v>
      </c>
      <c r="D67" s="443"/>
      <c r="E67" s="344"/>
      <c r="F67" s="344"/>
      <c r="G67" s="344"/>
      <c r="H67" s="344"/>
      <c r="I67" s="344"/>
      <c r="J67" s="344"/>
      <c r="K67" s="344"/>
      <c r="L67" s="344"/>
      <c r="M67" s="344"/>
      <c r="N67" s="344"/>
      <c r="O67" s="344"/>
      <c r="P67" s="344"/>
      <c r="Q67" s="342">
        <f t="shared" si="14"/>
        <v>0</v>
      </c>
      <c r="S67" s="90"/>
      <c r="T67" s="87"/>
    </row>
    <row r="68" spans="2:20" ht="14.25" customHeight="1" x14ac:dyDescent="0.25">
      <c r="B68" s="4"/>
      <c r="C68" s="442" t="str">
        <f t="shared" si="15"/>
        <v xml:space="preserve"> Vervoer/transportkosten</v>
      </c>
      <c r="D68" s="443">
        <f>D30</f>
        <v>0</v>
      </c>
      <c r="E68" s="344"/>
      <c r="F68" s="344"/>
      <c r="G68" s="344"/>
      <c r="H68" s="344"/>
      <c r="I68" s="344"/>
      <c r="J68" s="344"/>
      <c r="K68" s="344"/>
      <c r="L68" s="344"/>
      <c r="M68" s="344"/>
      <c r="N68" s="344"/>
      <c r="O68" s="344"/>
      <c r="P68" s="344"/>
      <c r="Q68" s="342">
        <f t="shared" si="14"/>
        <v>0</v>
      </c>
      <c r="S68" s="90"/>
      <c r="T68" s="87"/>
    </row>
    <row r="69" spans="2:20" ht="14.25" customHeight="1" x14ac:dyDescent="0.25">
      <c r="B69" s="4"/>
      <c r="C69" s="442" t="str">
        <f t="shared" si="15"/>
        <v xml:space="preserve"> Promotiekosten</v>
      </c>
      <c r="D69" s="443">
        <f>D31</f>
        <v>0</v>
      </c>
      <c r="E69" s="344"/>
      <c r="F69" s="344"/>
      <c r="G69" s="344"/>
      <c r="H69" s="344"/>
      <c r="I69" s="344"/>
      <c r="J69" s="344"/>
      <c r="K69" s="344"/>
      <c r="L69" s="344"/>
      <c r="M69" s="344"/>
      <c r="N69" s="344"/>
      <c r="O69" s="344"/>
      <c r="P69" s="344"/>
      <c r="Q69" s="342">
        <f t="shared" si="14"/>
        <v>0</v>
      </c>
      <c r="S69" s="90"/>
      <c r="T69" s="86"/>
    </row>
    <row r="70" spans="2:20" ht="14.25" customHeight="1" x14ac:dyDescent="0.25">
      <c r="B70" s="4"/>
      <c r="C70" s="442" t="str">
        <f t="shared" si="15"/>
        <v xml:space="preserve"> Overige bedrijfskosten</v>
      </c>
      <c r="D70" s="443">
        <f>D32</f>
        <v>0</v>
      </c>
      <c r="E70" s="344"/>
      <c r="F70" s="344"/>
      <c r="G70" s="344"/>
      <c r="H70" s="344"/>
      <c r="I70" s="344"/>
      <c r="J70" s="344"/>
      <c r="K70" s="344"/>
      <c r="L70" s="344"/>
      <c r="M70" s="344"/>
      <c r="N70" s="344"/>
      <c r="O70" s="344"/>
      <c r="P70" s="344"/>
      <c r="Q70" s="342">
        <f t="shared" si="14"/>
        <v>0</v>
      </c>
      <c r="S70" s="90"/>
      <c r="T70" s="86"/>
    </row>
    <row r="71" spans="2:20" ht="14.25" customHeight="1" x14ac:dyDescent="0.25">
      <c r="B71" s="4"/>
      <c r="C71" s="442" t="str">
        <f t="shared" si="15"/>
        <v xml:space="preserve"> BTW kosten</v>
      </c>
      <c r="D71" s="501"/>
      <c r="E71" s="286">
        <f>(E67*$E$7)+(E68*$E$8)+(E69*$E$8)+(E70*$E$8)</f>
        <v>0</v>
      </c>
      <c r="F71" s="286">
        <f t="shared" ref="F71" si="16">(F67*$E$7)+(F68*$E$8)+(F69*$E$8)+(F70*$E$8)</f>
        <v>0</v>
      </c>
      <c r="G71" s="286">
        <f t="shared" ref="G71" si="17">(G67*$E$7)+(G68*$E$8)+(G69*$E$8)+(G70*$E$8)</f>
        <v>0</v>
      </c>
      <c r="H71" s="286">
        <f t="shared" ref="H71" si="18">(H67*$E$7)+(H68*$E$8)+(H69*$E$8)+(H70*$E$8)</f>
        <v>0</v>
      </c>
      <c r="I71" s="286">
        <f t="shared" ref="I71" si="19">(I67*$E$7)+(I68*$E$8)+(I69*$E$8)+(I70*$E$8)</f>
        <v>0</v>
      </c>
      <c r="J71" s="286">
        <f t="shared" ref="J71" si="20">(J67*$E$7)+(J68*$E$8)+(J69*$E$8)+(J70*$E$8)</f>
        <v>0</v>
      </c>
      <c r="K71" s="286">
        <f t="shared" ref="K71" si="21">(K67*$E$7)+(K68*$E$8)+(K69*$E$8)+(K70*$E$8)</f>
        <v>0</v>
      </c>
      <c r="L71" s="286">
        <f t="shared" ref="L71" si="22">(L67*$E$7)+(L68*$E$8)+(L69*$E$8)+(L70*$E$8)</f>
        <v>0</v>
      </c>
      <c r="M71" s="286">
        <f t="shared" ref="M71" si="23">(M67*$E$7)+(M68*$E$8)+(M69*$E$8)+(M70*$E$8)</f>
        <v>0</v>
      </c>
      <c r="N71" s="286">
        <f t="shared" ref="N71" si="24">(N67*$E$7)+(N68*$E$8)+(N69*$E$8)+(N70*$E$8)</f>
        <v>0</v>
      </c>
      <c r="O71" s="286">
        <f t="shared" ref="O71" si="25">(O67*$E$7)+(O68*$E$8)+(O69*$E$8)+(O70*$E$8)</f>
        <v>0</v>
      </c>
      <c r="P71" s="286">
        <f t="shared" ref="P71" si="26">(P67*$E$7)+(P68*$E$8)+(P69*$E$8)+(P70*$E$8)</f>
        <v>0</v>
      </c>
      <c r="Q71" s="342">
        <f t="shared" si="14"/>
        <v>0</v>
      </c>
    </row>
    <row r="72" spans="2:20" ht="14.25" customHeight="1" x14ac:dyDescent="0.25">
      <c r="B72" s="4"/>
      <c r="C72" s="442" t="str">
        <f t="shared" si="15"/>
        <v xml:space="preserve"> BTW afdracht</v>
      </c>
      <c r="D72" s="501"/>
      <c r="E72" s="286">
        <f ca="1">(Verkoop!N31+Verkoop!O31+Verkoop!P31)-(Inkoop!N30+Inkoop!O30+Inkoop!P30)-(N33+O33+P33)-(N25+O25+P25)</f>
        <v>0</v>
      </c>
      <c r="F72" s="286"/>
      <c r="G72" s="286"/>
      <c r="H72" s="286">
        <f ca="1">(Verkoop!E61+Verkoop!F61+Verkoop!G61)-(Inkoop!E65+Inkoop!F65+Inkoop!G65)-(E71+F71+G71)-(E63+F63+G63)</f>
        <v>0</v>
      </c>
      <c r="I72" s="286"/>
      <c r="J72" s="286"/>
      <c r="K72" s="286">
        <f ca="1">(Verkoop!H61+Verkoop!I61+Verkoop!J61)-(Inkoop!H65+Inkoop!I65+Inkoop!J65)-(H71+I71+J71)-(H63+I63+J63)</f>
        <v>0</v>
      </c>
      <c r="L72" s="286"/>
      <c r="M72" s="286"/>
      <c r="N72" s="286">
        <f ca="1">(Verkoop!K61+Verkoop!L61+Verkoop!M61)-(Inkoop!K65+Inkoop!L65+Inkoop!M65)-(K71+L71+M71)-(K63+L63+M63)</f>
        <v>0</v>
      </c>
      <c r="O72" s="286"/>
      <c r="P72" s="286"/>
      <c r="Q72" s="342">
        <f t="shared" ca="1" si="14"/>
        <v>0</v>
      </c>
    </row>
    <row r="73" spans="2:20" ht="14.25" customHeight="1" x14ac:dyDescent="0.25">
      <c r="B73" s="4"/>
      <c r="C73" s="442" t="str">
        <f t="shared" si="15"/>
        <v xml:space="preserve"> Rente Qredits</v>
      </c>
      <c r="D73" s="501"/>
      <c r="E73" s="286">
        <f ca="1">'Qredits maandlasten'!C27</f>
        <v>0</v>
      </c>
      <c r="F73" s="286">
        <f ca="1">'Qredits maandlasten'!D27</f>
        <v>0</v>
      </c>
      <c r="G73" s="286">
        <f ca="1">'Qredits maandlasten'!E27</f>
        <v>0</v>
      </c>
      <c r="H73" s="286">
        <f ca="1">'Qredits maandlasten'!F27</f>
        <v>0</v>
      </c>
      <c r="I73" s="286">
        <f ca="1">'Qredits maandlasten'!G27</f>
        <v>0</v>
      </c>
      <c r="J73" s="286">
        <f ca="1">'Qredits maandlasten'!H27</f>
        <v>0</v>
      </c>
      <c r="K73" s="286">
        <f ca="1">'Qredits maandlasten'!I27</f>
        <v>0</v>
      </c>
      <c r="L73" s="286">
        <f ca="1">'Qredits maandlasten'!J27</f>
        <v>0</v>
      </c>
      <c r="M73" s="286">
        <f ca="1">'Qredits maandlasten'!K27</f>
        <v>0</v>
      </c>
      <c r="N73" s="286">
        <f ca="1">'Qredits maandlasten'!L27</f>
        <v>0</v>
      </c>
      <c r="O73" s="286">
        <f ca="1">'Qredits maandlasten'!M27</f>
        <v>0</v>
      </c>
      <c r="P73" s="286">
        <f ca="1">'Qredits maandlasten'!N27</f>
        <v>0</v>
      </c>
      <c r="Q73" s="342">
        <f t="shared" ca="1" si="14"/>
        <v>0</v>
      </c>
    </row>
    <row r="74" spans="2:20" ht="14.25" customHeight="1" x14ac:dyDescent="0.25">
      <c r="B74" s="4"/>
      <c r="C74" s="442" t="str">
        <f t="shared" si="15"/>
        <v xml:space="preserve"> Aflossingen Qredits</v>
      </c>
      <c r="D74" s="501"/>
      <c r="E74" s="286">
        <f ca="1">'Qredits maandlasten'!C28</f>
        <v>0</v>
      </c>
      <c r="F74" s="286">
        <f ca="1">'Qredits maandlasten'!D28</f>
        <v>0</v>
      </c>
      <c r="G74" s="286">
        <f ca="1">'Qredits maandlasten'!E28</f>
        <v>0</v>
      </c>
      <c r="H74" s="286">
        <f ca="1">'Qredits maandlasten'!F28</f>
        <v>0</v>
      </c>
      <c r="I74" s="286">
        <f ca="1">'Qredits maandlasten'!G28</f>
        <v>0</v>
      </c>
      <c r="J74" s="286">
        <f ca="1">'Qredits maandlasten'!H28</f>
        <v>0</v>
      </c>
      <c r="K74" s="286">
        <f ca="1">'Qredits maandlasten'!I28</f>
        <v>0</v>
      </c>
      <c r="L74" s="286">
        <f ca="1">'Qredits maandlasten'!J28</f>
        <v>0</v>
      </c>
      <c r="M74" s="286">
        <f ca="1">'Qredits maandlasten'!K28</f>
        <v>0</v>
      </c>
      <c r="N74" s="286">
        <f ca="1">'Qredits maandlasten'!L28</f>
        <v>0</v>
      </c>
      <c r="O74" s="286">
        <f ca="1">'Qredits maandlasten'!M28</f>
        <v>0</v>
      </c>
      <c r="P74" s="286">
        <f ca="1">'Qredits maandlasten'!N28</f>
        <v>0</v>
      </c>
      <c r="Q74" s="342">
        <f t="shared" ca="1" si="14"/>
        <v>0</v>
      </c>
    </row>
    <row r="75" spans="2:20" ht="14.25" customHeight="1" x14ac:dyDescent="0.25">
      <c r="B75" s="4"/>
      <c r="C75" s="442" t="str">
        <f t="shared" si="15"/>
        <v xml:space="preserve"> Rente en kosten andere leningen</v>
      </c>
      <c r="D75" s="443"/>
      <c r="E75" s="344"/>
      <c r="F75" s="344"/>
      <c r="G75" s="344"/>
      <c r="H75" s="344"/>
      <c r="I75" s="344"/>
      <c r="J75" s="344"/>
      <c r="K75" s="344"/>
      <c r="L75" s="344"/>
      <c r="M75" s="344"/>
      <c r="N75" s="344"/>
      <c r="O75" s="344"/>
      <c r="P75" s="344"/>
      <c r="Q75" s="342">
        <f t="shared" si="14"/>
        <v>0</v>
      </c>
    </row>
    <row r="76" spans="2:20" ht="14.25" customHeight="1" x14ac:dyDescent="0.25">
      <c r="B76" s="4"/>
      <c r="C76" s="442" t="str">
        <f t="shared" si="15"/>
        <v xml:space="preserve"> Aflossing andere leningen</v>
      </c>
      <c r="D76" s="443"/>
      <c r="E76" s="344"/>
      <c r="F76" s="344"/>
      <c r="G76" s="344"/>
      <c r="H76" s="344"/>
      <c r="I76" s="344"/>
      <c r="J76" s="344"/>
      <c r="K76" s="344"/>
      <c r="L76" s="344"/>
      <c r="M76" s="344"/>
      <c r="N76" s="344"/>
      <c r="O76" s="344"/>
      <c r="P76" s="344"/>
      <c r="Q76" s="342">
        <f t="shared" si="14"/>
        <v>0</v>
      </c>
    </row>
    <row r="77" spans="2:20" ht="14.25" customHeight="1" x14ac:dyDescent="0.25">
      <c r="B77" s="4"/>
      <c r="C77" s="442" t="s">
        <v>422</v>
      </c>
      <c r="D77" s="443"/>
      <c r="E77" s="286">
        <f>IF($Q57=0,0,$Q77/12)</f>
        <v>0</v>
      </c>
      <c r="F77" s="286">
        <f t="shared" ref="F77:P77" si="27">IF($Q57=0,0,$Q77/12)</f>
        <v>0</v>
      </c>
      <c r="G77" s="286">
        <f t="shared" si="27"/>
        <v>0</v>
      </c>
      <c r="H77" s="286">
        <f t="shared" si="27"/>
        <v>0</v>
      </c>
      <c r="I77" s="286">
        <f t="shared" si="27"/>
        <v>0</v>
      </c>
      <c r="J77" s="286">
        <f t="shared" si="27"/>
        <v>0</v>
      </c>
      <c r="K77" s="286">
        <f t="shared" si="27"/>
        <v>0</v>
      </c>
      <c r="L77" s="286">
        <f t="shared" si="27"/>
        <v>0</v>
      </c>
      <c r="M77" s="286">
        <f t="shared" si="27"/>
        <v>0</v>
      </c>
      <c r="N77" s="286">
        <f t="shared" si="27"/>
        <v>0</v>
      </c>
      <c r="O77" s="286">
        <f t="shared" si="27"/>
        <v>0</v>
      </c>
      <c r="P77" s="286">
        <f t="shared" si="27"/>
        <v>0</v>
      </c>
      <c r="Q77" s="342">
        <f ca="1">Exploitatie!$G$30</f>
        <v>0</v>
      </c>
    </row>
    <row r="78" spans="2:20" ht="14.25" customHeight="1" x14ac:dyDescent="0.25">
      <c r="B78" s="4"/>
      <c r="C78" s="442" t="str">
        <f>IF(Privé!$D$7="B.V."," Salaris directie"," Privé onttrekking")</f>
        <v xml:space="preserve"> Privé onttrekking</v>
      </c>
      <c r="D78" s="501"/>
      <c r="E78" s="344">
        <f ca="1">IF(OR(YEAR('Investering &amp; Financiering'!$E$51)&lt;Liquiditeit!$C48,AND(YEAR('Investering &amp; Financiering'!$E$51)=Liquiditeit!$C48,MONTH('Investering &amp; Financiering'!$E$51)&lt;=E48)),Privé!$E$10/12,0)</f>
        <v>0</v>
      </c>
      <c r="F78" s="344">
        <f ca="1">IF(OR(YEAR('Investering &amp; Financiering'!$E$51)&lt;Liquiditeit!$C48,AND(YEAR('Investering &amp; Financiering'!$E$51)=Liquiditeit!$C48,MONTH('Investering &amp; Financiering'!$E$51)&lt;=F48)),Privé!$E$10/12,0)</f>
        <v>0</v>
      </c>
      <c r="G78" s="344">
        <f ca="1">IF(OR(YEAR('Investering &amp; Financiering'!$E$51)&lt;Liquiditeit!$C48,AND(YEAR('Investering &amp; Financiering'!$E$51)=Liquiditeit!$C48,MONTH('Investering &amp; Financiering'!$E$51)&lt;=G48)),Privé!$E$10/12,0)</f>
        <v>0</v>
      </c>
      <c r="H78" s="344">
        <f ca="1">IF(OR(YEAR('Investering &amp; Financiering'!$E$51)&lt;Liquiditeit!$C48,AND(YEAR('Investering &amp; Financiering'!$E$51)=Liquiditeit!$C48,MONTH('Investering &amp; Financiering'!$E$51)&lt;=H48)),Privé!$E$10/12,0)</f>
        <v>0</v>
      </c>
      <c r="I78" s="344">
        <f ca="1">IF(OR(YEAR('Investering &amp; Financiering'!$E$51)&lt;Liquiditeit!$C48,AND(YEAR('Investering &amp; Financiering'!$E$51)=Liquiditeit!$C48,MONTH('Investering &amp; Financiering'!$E$51)&lt;=I48)),Privé!$E$10/12,0)</f>
        <v>0</v>
      </c>
      <c r="J78" s="344">
        <f ca="1">IF(OR(YEAR('Investering &amp; Financiering'!$E$51)&lt;Liquiditeit!$C48,AND(YEAR('Investering &amp; Financiering'!$E$51)=Liquiditeit!$C48,MONTH('Investering &amp; Financiering'!$E$51)&lt;=J48)),Privé!$E$10/12,0)</f>
        <v>0</v>
      </c>
      <c r="K78" s="344">
        <f ca="1">IF(OR(YEAR('Investering &amp; Financiering'!$E$51)&lt;Liquiditeit!$C48,AND(YEAR('Investering &amp; Financiering'!$E$51)=Liquiditeit!$C48,MONTH('Investering &amp; Financiering'!$E$51)&lt;=K48)),Privé!$E$10/12,0)</f>
        <v>0</v>
      </c>
      <c r="L78" s="344">
        <f ca="1">IF(OR(YEAR('Investering &amp; Financiering'!$E$51)&lt;Liquiditeit!$C48,AND(YEAR('Investering &amp; Financiering'!$E$51)=Liquiditeit!$C48,MONTH('Investering &amp; Financiering'!$E$51)&lt;=L48)),Privé!$E$10/12,0)</f>
        <v>0</v>
      </c>
      <c r="M78" s="344">
        <f ca="1">IF(OR(YEAR('Investering &amp; Financiering'!$E$51)&lt;Liquiditeit!$C48,AND(YEAR('Investering &amp; Financiering'!$E$51)=Liquiditeit!$C48,MONTH('Investering &amp; Financiering'!$E$51)&lt;=M48)),Privé!$E$10/12,0)</f>
        <v>0</v>
      </c>
      <c r="N78" s="344">
        <f ca="1">IF(OR(YEAR('Investering &amp; Financiering'!$E$51)&lt;Liquiditeit!$C48,AND(YEAR('Investering &amp; Financiering'!$E$51)=Liquiditeit!$C48,MONTH('Investering &amp; Financiering'!$E$51)&lt;=N48)),Privé!$E$10/12,0)</f>
        <v>0</v>
      </c>
      <c r="O78" s="344">
        <f ca="1">IF(OR(YEAR('Investering &amp; Financiering'!$E$51)&lt;Liquiditeit!$C48,AND(YEAR('Investering &amp; Financiering'!$E$51)=Liquiditeit!$C48,MONTH('Investering &amp; Financiering'!$E$51)&lt;=O48)),Privé!$E$10/12,0)</f>
        <v>0</v>
      </c>
      <c r="P78" s="344">
        <f ca="1">IF(OR(YEAR('Investering &amp; Financiering'!$E$51)&lt;Liquiditeit!$C48,AND(YEAR('Investering &amp; Financiering'!$E$51)=Liquiditeit!$C48,MONTH('Investering &amp; Financiering'!$E$51)&lt;=P48)),Privé!$E$10/12,0)</f>
        <v>0</v>
      </c>
      <c r="Q78" s="342">
        <f t="shared" ca="1" si="14"/>
        <v>0</v>
      </c>
      <c r="S78" s="90"/>
      <c r="T78" s="86">
        <f ca="1">Exploitatie!G33</f>
        <v>0</v>
      </c>
    </row>
    <row r="79" spans="2:20" ht="14.25" customHeight="1" x14ac:dyDescent="0.25">
      <c r="B79" s="4"/>
      <c r="C79" s="440" t="s">
        <v>41</v>
      </c>
      <c r="D79" s="441"/>
      <c r="E79" s="343">
        <f t="shared" ref="E79:O79" ca="1" si="28">SUM(E62:E78)</f>
        <v>0</v>
      </c>
      <c r="F79" s="343">
        <f t="shared" ca="1" si="28"/>
        <v>0</v>
      </c>
      <c r="G79" s="343">
        <f t="shared" ca="1" si="28"/>
        <v>0</v>
      </c>
      <c r="H79" s="343">
        <f t="shared" ca="1" si="28"/>
        <v>0</v>
      </c>
      <c r="I79" s="343">
        <f t="shared" ca="1" si="28"/>
        <v>0</v>
      </c>
      <c r="J79" s="343">
        <f t="shared" ca="1" si="28"/>
        <v>0</v>
      </c>
      <c r="K79" s="343">
        <f t="shared" ca="1" si="28"/>
        <v>0</v>
      </c>
      <c r="L79" s="343">
        <f t="shared" ca="1" si="28"/>
        <v>0</v>
      </c>
      <c r="M79" s="343">
        <f t="shared" ca="1" si="28"/>
        <v>0</v>
      </c>
      <c r="N79" s="343">
        <f t="shared" ca="1" si="28"/>
        <v>0</v>
      </c>
      <c r="O79" s="343">
        <f t="shared" ca="1" si="28"/>
        <v>0</v>
      </c>
      <c r="P79" s="343">
        <f ca="1">SUM(P62:P78)</f>
        <v>0</v>
      </c>
      <c r="Q79" s="342">
        <f ca="1">SUM(E79:P79)</f>
        <v>0</v>
      </c>
    </row>
    <row r="80" spans="2:20" ht="14.25" customHeight="1" x14ac:dyDescent="0.25">
      <c r="B80" s="4"/>
      <c r="C80" s="44"/>
      <c r="D80" s="44"/>
      <c r="E80" s="45"/>
      <c r="F80" s="45"/>
      <c r="G80" s="45"/>
      <c r="H80" s="45"/>
      <c r="I80" s="45"/>
      <c r="J80" s="45"/>
      <c r="K80" s="45"/>
      <c r="L80" s="45"/>
      <c r="M80" s="45"/>
      <c r="N80" s="45"/>
      <c r="O80" s="45"/>
      <c r="P80" s="45"/>
      <c r="Q80" s="45"/>
    </row>
    <row r="81" spans="2:17" ht="14.25" customHeight="1" x14ac:dyDescent="0.25">
      <c r="B81" s="4"/>
      <c r="C81" s="432" t="s">
        <v>43</v>
      </c>
      <c r="D81" s="433"/>
      <c r="E81" s="345">
        <f ca="1">E59-E79</f>
        <v>0</v>
      </c>
      <c r="F81" s="345">
        <f ca="1">F59-F79</f>
        <v>0</v>
      </c>
      <c r="G81" s="345">
        <f t="shared" ref="G81:O81" ca="1" si="29">G59-G79</f>
        <v>0</v>
      </c>
      <c r="H81" s="345">
        <f t="shared" ca="1" si="29"/>
        <v>0</v>
      </c>
      <c r="I81" s="345">
        <f t="shared" ca="1" si="29"/>
        <v>0</v>
      </c>
      <c r="J81" s="345">
        <f t="shared" ca="1" si="29"/>
        <v>0</v>
      </c>
      <c r="K81" s="345">
        <f t="shared" ca="1" si="29"/>
        <v>0</v>
      </c>
      <c r="L81" s="345">
        <f t="shared" ca="1" si="29"/>
        <v>0</v>
      </c>
      <c r="M81" s="345">
        <f t="shared" ca="1" si="29"/>
        <v>0</v>
      </c>
      <c r="N81" s="345">
        <f t="shared" ca="1" si="29"/>
        <v>0</v>
      </c>
      <c r="O81" s="345">
        <f t="shared" ca="1" si="29"/>
        <v>0</v>
      </c>
      <c r="P81" s="345">
        <f ca="1">P59-P79</f>
        <v>0</v>
      </c>
      <c r="Q81" s="346"/>
    </row>
    <row r="82" spans="2:17" ht="14.25" customHeight="1" x14ac:dyDescent="0.25">
      <c r="B82" s="4"/>
      <c r="C82" s="44"/>
      <c r="D82" s="44"/>
      <c r="E82" s="45"/>
      <c r="F82" s="45"/>
      <c r="G82" s="45"/>
      <c r="H82" s="45"/>
      <c r="I82" s="45"/>
      <c r="J82" s="45"/>
      <c r="K82" s="45"/>
      <c r="L82" s="45"/>
      <c r="M82" s="45"/>
      <c r="N82" s="45"/>
      <c r="O82" s="45"/>
      <c r="P82" s="45"/>
      <c r="Q82" s="45"/>
    </row>
    <row r="83" spans="2:17" ht="14.25" customHeight="1" x14ac:dyDescent="0.25">
      <c r="B83" s="4"/>
      <c r="C83" s="432" t="s">
        <v>42</v>
      </c>
      <c r="D83" s="433"/>
      <c r="E83" s="347">
        <f t="shared" ref="E83:P83" ca="1" si="30">E50+E81</f>
        <v>0</v>
      </c>
      <c r="F83" s="347">
        <f ca="1">F50+F81</f>
        <v>0</v>
      </c>
      <c r="G83" s="347">
        <f t="shared" ca="1" si="30"/>
        <v>0</v>
      </c>
      <c r="H83" s="347">
        <f t="shared" ca="1" si="30"/>
        <v>0</v>
      </c>
      <c r="I83" s="347">
        <f t="shared" ca="1" si="30"/>
        <v>0</v>
      </c>
      <c r="J83" s="347">
        <f t="shared" ca="1" si="30"/>
        <v>0</v>
      </c>
      <c r="K83" s="347">
        <f t="shared" ca="1" si="30"/>
        <v>0</v>
      </c>
      <c r="L83" s="347">
        <f t="shared" ca="1" si="30"/>
        <v>0</v>
      </c>
      <c r="M83" s="347">
        <f t="shared" ca="1" si="30"/>
        <v>0</v>
      </c>
      <c r="N83" s="347">
        <f t="shared" ca="1" si="30"/>
        <v>0</v>
      </c>
      <c r="O83" s="347">
        <f t="shared" ca="1" si="30"/>
        <v>0</v>
      </c>
      <c r="P83" s="347">
        <f t="shared" ca="1" si="30"/>
        <v>0</v>
      </c>
      <c r="Q83" s="346"/>
    </row>
    <row r="86" spans="2:17" ht="21" x14ac:dyDescent="0.35">
      <c r="B86" s="4"/>
      <c r="C86" s="173">
        <f>C48+1</f>
        <v>2025</v>
      </c>
      <c r="E86" s="102">
        <v>1</v>
      </c>
      <c r="F86" s="102">
        <v>2</v>
      </c>
      <c r="G86" s="102">
        <v>3</v>
      </c>
      <c r="H86" s="102">
        <v>4</v>
      </c>
      <c r="I86" s="102">
        <v>5</v>
      </c>
      <c r="J86" s="102">
        <v>6</v>
      </c>
      <c r="K86" s="102">
        <v>7</v>
      </c>
      <c r="L86" s="102">
        <v>8</v>
      </c>
      <c r="M86" s="102">
        <v>9</v>
      </c>
      <c r="N86" s="102">
        <v>10</v>
      </c>
      <c r="O86" s="102">
        <v>11</v>
      </c>
      <c r="P86" s="102">
        <v>12</v>
      </c>
      <c r="Q86" s="72"/>
    </row>
    <row r="87" spans="2:17" ht="14.25" customHeight="1" x14ac:dyDescent="0.25">
      <c r="B87" s="4"/>
      <c r="C87" s="502" t="s">
        <v>55</v>
      </c>
      <c r="D87" s="503"/>
      <c r="E87" s="237" t="s">
        <v>181</v>
      </c>
      <c r="F87" s="237" t="s">
        <v>182</v>
      </c>
      <c r="G87" s="237" t="s">
        <v>183</v>
      </c>
      <c r="H87" s="237" t="s">
        <v>184</v>
      </c>
      <c r="I87" s="237" t="s">
        <v>185</v>
      </c>
      <c r="J87" s="237" t="s">
        <v>186</v>
      </c>
      <c r="K87" s="237" t="s">
        <v>187</v>
      </c>
      <c r="L87" s="237" t="s">
        <v>188</v>
      </c>
      <c r="M87" s="237" t="s">
        <v>189</v>
      </c>
      <c r="N87" s="237" t="s">
        <v>190</v>
      </c>
      <c r="O87" s="237" t="s">
        <v>191</v>
      </c>
      <c r="P87" s="237" t="s">
        <v>192</v>
      </c>
      <c r="Q87" s="303" t="s">
        <v>2</v>
      </c>
    </row>
    <row r="88" spans="2:17" ht="14.25" customHeight="1" x14ac:dyDescent="0.25">
      <c r="B88" s="4"/>
      <c r="C88" s="504" t="s">
        <v>30</v>
      </c>
      <c r="D88" s="505"/>
      <c r="E88" s="340">
        <f ca="1">P83</f>
        <v>0</v>
      </c>
      <c r="F88" s="340">
        <f ca="1">E117</f>
        <v>0</v>
      </c>
      <c r="G88" s="340">
        <f t="shared" ref="G88:P88" ca="1" si="31">F117</f>
        <v>0</v>
      </c>
      <c r="H88" s="340">
        <f t="shared" ca="1" si="31"/>
        <v>0</v>
      </c>
      <c r="I88" s="340">
        <f t="shared" ca="1" si="31"/>
        <v>0</v>
      </c>
      <c r="J88" s="340">
        <f t="shared" ca="1" si="31"/>
        <v>0</v>
      </c>
      <c r="K88" s="340">
        <f t="shared" ca="1" si="31"/>
        <v>0</v>
      </c>
      <c r="L88" s="340">
        <f t="shared" ca="1" si="31"/>
        <v>0</v>
      </c>
      <c r="M88" s="340">
        <f t="shared" ca="1" si="31"/>
        <v>0</v>
      </c>
      <c r="N88" s="340">
        <f t="shared" ca="1" si="31"/>
        <v>0</v>
      </c>
      <c r="O88" s="340">
        <f t="shared" ca="1" si="31"/>
        <v>0</v>
      </c>
      <c r="P88" s="340">
        <f t="shared" ca="1" si="31"/>
        <v>0</v>
      </c>
      <c r="Q88" s="341"/>
    </row>
    <row r="89" spans="2:17" ht="14.25" customHeight="1" x14ac:dyDescent="0.25">
      <c r="B89" s="4"/>
      <c r="E89" s="41"/>
      <c r="F89" s="41"/>
      <c r="G89" s="41"/>
      <c r="H89" s="41"/>
      <c r="I89" s="41"/>
      <c r="J89" s="41"/>
      <c r="K89" s="41"/>
      <c r="L89" s="41"/>
      <c r="M89" s="41"/>
      <c r="N89" s="41"/>
      <c r="O89" s="41"/>
      <c r="P89" s="41"/>
      <c r="Q89" s="46"/>
    </row>
    <row r="90" spans="2:17" ht="14.25" customHeight="1" x14ac:dyDescent="0.25">
      <c r="B90" s="4"/>
      <c r="C90" s="450" t="s">
        <v>31</v>
      </c>
      <c r="D90" s="451"/>
      <c r="E90" s="348"/>
      <c r="F90" s="348"/>
      <c r="G90" s="348"/>
      <c r="H90" s="348"/>
      <c r="I90" s="348"/>
      <c r="J90" s="348"/>
      <c r="K90" s="348"/>
      <c r="L90" s="348"/>
      <c r="M90" s="348"/>
      <c r="N90" s="348"/>
      <c r="O90" s="348"/>
      <c r="P90" s="348"/>
      <c r="Q90" s="349"/>
    </row>
    <row r="91" spans="2:17" ht="14.25" customHeight="1" x14ac:dyDescent="0.25">
      <c r="B91" s="4"/>
      <c r="C91" s="442" t="s">
        <v>211</v>
      </c>
      <c r="D91" s="501"/>
      <c r="E91" s="344"/>
      <c r="F91" s="344"/>
      <c r="G91" s="344"/>
      <c r="H91" s="344"/>
      <c r="I91" s="344"/>
      <c r="J91" s="344"/>
      <c r="K91" s="344"/>
      <c r="L91" s="344"/>
      <c r="M91" s="344"/>
      <c r="N91" s="344"/>
      <c r="O91" s="344"/>
      <c r="P91" s="344"/>
      <c r="Q91" s="342">
        <f>SUM(E91:P91)</f>
        <v>0</v>
      </c>
    </row>
    <row r="92" spans="2:17" ht="14.25" customHeight="1" x14ac:dyDescent="0.25">
      <c r="B92" s="4"/>
      <c r="C92" s="442" t="str">
        <f>C57</f>
        <v xml:space="preserve"> Omzet ex. BTW</v>
      </c>
      <c r="D92" s="501"/>
      <c r="E92" s="286">
        <f>Verkoop!E94</f>
        <v>0</v>
      </c>
      <c r="F92" s="286">
        <f>Verkoop!F94</f>
        <v>0</v>
      </c>
      <c r="G92" s="286">
        <f>Verkoop!G94</f>
        <v>0</v>
      </c>
      <c r="H92" s="286">
        <f>Verkoop!H94</f>
        <v>0</v>
      </c>
      <c r="I92" s="286">
        <f>Verkoop!I94</f>
        <v>0</v>
      </c>
      <c r="J92" s="286">
        <f>Verkoop!J94</f>
        <v>0</v>
      </c>
      <c r="K92" s="286">
        <f>Verkoop!K94</f>
        <v>0</v>
      </c>
      <c r="L92" s="286">
        <f>Verkoop!L94</f>
        <v>0</v>
      </c>
      <c r="M92" s="286">
        <f>Verkoop!M94</f>
        <v>0</v>
      </c>
      <c r="N92" s="286">
        <f>Verkoop!N94</f>
        <v>0</v>
      </c>
      <c r="O92" s="286">
        <f>Verkoop!O94</f>
        <v>0</v>
      </c>
      <c r="P92" s="286">
        <f>Verkoop!P94</f>
        <v>0</v>
      </c>
      <c r="Q92" s="342">
        <f>SUM(E92:P92)</f>
        <v>0</v>
      </c>
    </row>
    <row r="93" spans="2:17" ht="14.25" customHeight="1" x14ac:dyDescent="0.25">
      <c r="B93" s="4"/>
      <c r="C93" s="442" t="str">
        <f>C58</f>
        <v xml:space="preserve"> BTW</v>
      </c>
      <c r="D93" s="501"/>
      <c r="E93" s="286">
        <f>Verkoop!E95</f>
        <v>0</v>
      </c>
      <c r="F93" s="286">
        <f>Verkoop!F95</f>
        <v>0</v>
      </c>
      <c r="G93" s="286">
        <f>Verkoop!G95</f>
        <v>0</v>
      </c>
      <c r="H93" s="286">
        <f>Verkoop!H95</f>
        <v>0</v>
      </c>
      <c r="I93" s="286">
        <f>Verkoop!I95</f>
        <v>0</v>
      </c>
      <c r="J93" s="286">
        <f>Verkoop!J95</f>
        <v>0</v>
      </c>
      <c r="K93" s="286">
        <f>Verkoop!K95</f>
        <v>0</v>
      </c>
      <c r="L93" s="286">
        <f>Verkoop!L95</f>
        <v>0</v>
      </c>
      <c r="M93" s="286">
        <f>Verkoop!M95</f>
        <v>0</v>
      </c>
      <c r="N93" s="286">
        <f>Verkoop!N95</f>
        <v>0</v>
      </c>
      <c r="O93" s="286">
        <f>Verkoop!O95</f>
        <v>0</v>
      </c>
      <c r="P93" s="286">
        <f>Verkoop!P95</f>
        <v>0</v>
      </c>
      <c r="Q93" s="342">
        <f>SUM(E93:P93)</f>
        <v>0</v>
      </c>
    </row>
    <row r="94" spans="2:17" ht="14.25" customHeight="1" x14ac:dyDescent="0.25">
      <c r="B94" s="4"/>
      <c r="C94" s="440" t="s">
        <v>35</v>
      </c>
      <c r="D94" s="441"/>
      <c r="E94" s="343">
        <f>SUM(E91:E93)</f>
        <v>0</v>
      </c>
      <c r="F94" s="343">
        <f t="shared" ref="F94:P94" si="32">SUM(F91:F93)</f>
        <v>0</v>
      </c>
      <c r="G94" s="343">
        <f t="shared" si="32"/>
        <v>0</v>
      </c>
      <c r="H94" s="343">
        <f t="shared" si="32"/>
        <v>0</v>
      </c>
      <c r="I94" s="343">
        <f t="shared" si="32"/>
        <v>0</v>
      </c>
      <c r="J94" s="343">
        <f t="shared" si="32"/>
        <v>0</v>
      </c>
      <c r="K94" s="343">
        <f t="shared" si="32"/>
        <v>0</v>
      </c>
      <c r="L94" s="343">
        <f t="shared" si="32"/>
        <v>0</v>
      </c>
      <c r="M94" s="343">
        <f t="shared" si="32"/>
        <v>0</v>
      </c>
      <c r="N94" s="343">
        <f t="shared" si="32"/>
        <v>0</v>
      </c>
      <c r="O94" s="343">
        <f t="shared" si="32"/>
        <v>0</v>
      </c>
      <c r="P94" s="343">
        <f t="shared" si="32"/>
        <v>0</v>
      </c>
      <c r="Q94" s="342">
        <f>SUM(E94:P94)</f>
        <v>0</v>
      </c>
    </row>
    <row r="95" spans="2:17" ht="14.25" customHeight="1" x14ac:dyDescent="0.25">
      <c r="B95" s="4"/>
    </row>
    <row r="96" spans="2:17" ht="14.25" customHeight="1" x14ac:dyDescent="0.25">
      <c r="B96" s="4"/>
      <c r="C96" s="432" t="s">
        <v>36</v>
      </c>
      <c r="D96" s="433"/>
      <c r="E96" s="350"/>
      <c r="F96" s="350"/>
      <c r="G96" s="350"/>
      <c r="H96" s="350"/>
      <c r="I96" s="350"/>
      <c r="J96" s="350"/>
      <c r="K96" s="350"/>
      <c r="L96" s="350"/>
      <c r="M96" s="350"/>
      <c r="N96" s="350"/>
      <c r="O96" s="350"/>
      <c r="P96" s="350"/>
      <c r="Q96" s="262"/>
    </row>
    <row r="97" spans="2:17" ht="14.25" customHeight="1" x14ac:dyDescent="0.25">
      <c r="B97" s="4"/>
      <c r="C97" s="442" t="s">
        <v>212</v>
      </c>
      <c r="D97" s="443">
        <f>D62</f>
        <v>0</v>
      </c>
      <c r="E97" s="286"/>
      <c r="F97" s="286"/>
      <c r="G97" s="286"/>
      <c r="H97" s="286"/>
      <c r="I97" s="286"/>
      <c r="J97" s="286"/>
      <c r="K97" s="286"/>
      <c r="L97" s="286"/>
      <c r="M97" s="286"/>
      <c r="N97" s="286"/>
      <c r="O97" s="286"/>
      <c r="P97" s="286"/>
      <c r="Q97" s="342">
        <f t="shared" ref="Q97:Q104" si="33">SUM(E97:P97)</f>
        <v>0</v>
      </c>
    </row>
    <row r="98" spans="2:17" ht="14.25" customHeight="1" x14ac:dyDescent="0.25">
      <c r="B98" s="4"/>
      <c r="C98" s="442" t="str">
        <f t="shared" ref="C98:C110" si="34">C64</f>
        <v xml:space="preserve"> Inkoop voorraad</v>
      </c>
      <c r="D98" s="443"/>
      <c r="E98" s="286">
        <f>Inkoop!E109</f>
        <v>0</v>
      </c>
      <c r="F98" s="286">
        <f>Inkoop!F109</f>
        <v>0</v>
      </c>
      <c r="G98" s="286">
        <f>Inkoop!G109</f>
        <v>0</v>
      </c>
      <c r="H98" s="286">
        <f>Inkoop!H109</f>
        <v>0</v>
      </c>
      <c r="I98" s="286">
        <f>Inkoop!I109</f>
        <v>0</v>
      </c>
      <c r="J98" s="286">
        <f>Inkoop!J109</f>
        <v>0</v>
      </c>
      <c r="K98" s="286">
        <f>Inkoop!K109</f>
        <v>0</v>
      </c>
      <c r="L98" s="286">
        <f>Inkoop!L109</f>
        <v>0</v>
      </c>
      <c r="M98" s="286">
        <f>Inkoop!M109</f>
        <v>0</v>
      </c>
      <c r="N98" s="286">
        <f>Inkoop!N109</f>
        <v>0</v>
      </c>
      <c r="O98" s="286">
        <f>Inkoop!O109</f>
        <v>0</v>
      </c>
      <c r="P98" s="286">
        <f>Inkoop!P109</f>
        <v>0</v>
      </c>
      <c r="Q98" s="342">
        <f t="shared" si="33"/>
        <v>0</v>
      </c>
    </row>
    <row r="99" spans="2:17" ht="14.25" customHeight="1" x14ac:dyDescent="0.25">
      <c r="B99" s="4"/>
      <c r="C99" s="442" t="str">
        <f t="shared" si="34"/>
        <v xml:space="preserve"> BTW inkoop voorraad</v>
      </c>
      <c r="D99" s="443"/>
      <c r="E99" s="286">
        <f>Inkoop!E110</f>
        <v>0</v>
      </c>
      <c r="F99" s="286">
        <f>Inkoop!F110</f>
        <v>0</v>
      </c>
      <c r="G99" s="286">
        <f>Inkoop!G110</f>
        <v>0</v>
      </c>
      <c r="H99" s="286">
        <f>Inkoop!H110</f>
        <v>0</v>
      </c>
      <c r="I99" s="286">
        <f>Inkoop!I110</f>
        <v>0</v>
      </c>
      <c r="J99" s="286">
        <f>Inkoop!J110</f>
        <v>0</v>
      </c>
      <c r="K99" s="286">
        <f>Inkoop!K110</f>
        <v>0</v>
      </c>
      <c r="L99" s="286">
        <f>Inkoop!L110</f>
        <v>0</v>
      </c>
      <c r="M99" s="286">
        <f>Inkoop!M110</f>
        <v>0</v>
      </c>
      <c r="N99" s="286">
        <f>Inkoop!N110</f>
        <v>0</v>
      </c>
      <c r="O99" s="286">
        <f>Inkoop!O110</f>
        <v>0</v>
      </c>
      <c r="P99" s="286">
        <f>Inkoop!P110</f>
        <v>0</v>
      </c>
      <c r="Q99" s="342">
        <f t="shared" si="33"/>
        <v>0</v>
      </c>
    </row>
    <row r="100" spans="2:17" ht="14.25" customHeight="1" x14ac:dyDescent="0.25">
      <c r="B100" s="4"/>
      <c r="C100" s="442" t="str">
        <f t="shared" si="34"/>
        <v xml:space="preserve"> Personeelskosten</v>
      </c>
      <c r="D100" s="443"/>
      <c r="E100" s="344"/>
      <c r="F100" s="344"/>
      <c r="G100" s="344"/>
      <c r="H100" s="344"/>
      <c r="I100" s="344"/>
      <c r="J100" s="344"/>
      <c r="K100" s="344"/>
      <c r="L100" s="344"/>
      <c r="M100" s="344"/>
      <c r="N100" s="344"/>
      <c r="O100" s="344"/>
      <c r="P100" s="344"/>
      <c r="Q100" s="342">
        <f t="shared" si="33"/>
        <v>0</v>
      </c>
    </row>
    <row r="101" spans="2:17" ht="14.25" customHeight="1" x14ac:dyDescent="0.25">
      <c r="B101" s="4"/>
      <c r="C101" s="442" t="str">
        <f t="shared" si="34"/>
        <v xml:space="preserve"> Huisvestingskosten</v>
      </c>
      <c r="D101" s="443"/>
      <c r="E101" s="344"/>
      <c r="F101" s="344"/>
      <c r="G101" s="344"/>
      <c r="H101" s="344"/>
      <c r="I101" s="344"/>
      <c r="J101" s="344"/>
      <c r="K101" s="344"/>
      <c r="L101" s="344"/>
      <c r="M101" s="344"/>
      <c r="N101" s="344"/>
      <c r="O101" s="344"/>
      <c r="P101" s="344"/>
      <c r="Q101" s="342">
        <f t="shared" si="33"/>
        <v>0</v>
      </c>
    </row>
    <row r="102" spans="2:17" ht="14.25" customHeight="1" x14ac:dyDescent="0.25">
      <c r="B102" s="4"/>
      <c r="C102" s="442" t="str">
        <f t="shared" si="34"/>
        <v xml:space="preserve"> Vervoer/transportkosten</v>
      </c>
      <c r="D102" s="443">
        <f>D68</f>
        <v>0</v>
      </c>
      <c r="E102" s="344"/>
      <c r="F102" s="344"/>
      <c r="G102" s="344"/>
      <c r="H102" s="344"/>
      <c r="I102" s="344"/>
      <c r="J102" s="344"/>
      <c r="K102" s="344"/>
      <c r="L102" s="344"/>
      <c r="M102" s="344"/>
      <c r="N102" s="344"/>
      <c r="O102" s="344"/>
      <c r="P102" s="344"/>
      <c r="Q102" s="342">
        <f t="shared" si="33"/>
        <v>0</v>
      </c>
    </row>
    <row r="103" spans="2:17" ht="14.25" customHeight="1" x14ac:dyDescent="0.25">
      <c r="B103" s="4"/>
      <c r="C103" s="442" t="str">
        <f t="shared" si="34"/>
        <v xml:space="preserve"> Promotiekosten</v>
      </c>
      <c r="D103" s="443">
        <f>D69</f>
        <v>0</v>
      </c>
      <c r="E103" s="344"/>
      <c r="F103" s="344"/>
      <c r="G103" s="344"/>
      <c r="H103" s="344"/>
      <c r="I103" s="344"/>
      <c r="J103" s="344"/>
      <c r="K103" s="344"/>
      <c r="L103" s="344"/>
      <c r="M103" s="344"/>
      <c r="N103" s="344"/>
      <c r="O103" s="344"/>
      <c r="P103" s="344"/>
      <c r="Q103" s="342">
        <f t="shared" si="33"/>
        <v>0</v>
      </c>
    </row>
    <row r="104" spans="2:17" ht="14.25" customHeight="1" x14ac:dyDescent="0.25">
      <c r="B104" s="4"/>
      <c r="C104" s="442" t="str">
        <f t="shared" si="34"/>
        <v xml:space="preserve"> Overige bedrijfskosten</v>
      </c>
      <c r="D104" s="443">
        <f>D70</f>
        <v>0</v>
      </c>
      <c r="E104" s="344"/>
      <c r="F104" s="344"/>
      <c r="G104" s="344"/>
      <c r="H104" s="344"/>
      <c r="I104" s="344"/>
      <c r="J104" s="344"/>
      <c r="K104" s="344"/>
      <c r="L104" s="344"/>
      <c r="M104" s="344"/>
      <c r="N104" s="344"/>
      <c r="O104" s="344"/>
      <c r="P104" s="344"/>
      <c r="Q104" s="342">
        <f t="shared" si="33"/>
        <v>0</v>
      </c>
    </row>
    <row r="105" spans="2:17" ht="14.25" customHeight="1" x14ac:dyDescent="0.25">
      <c r="B105" s="4"/>
      <c r="C105" s="442" t="str">
        <f t="shared" si="34"/>
        <v xml:space="preserve"> BTW kosten</v>
      </c>
      <c r="D105" s="501"/>
      <c r="E105" s="286">
        <f>(E97*$E$6)+(E101*$E$7)+(E102*$E$8)+(E103*$E$8)+(E104*$E$8)</f>
        <v>0</v>
      </c>
      <c r="F105" s="286">
        <f t="shared" ref="F105:P105" si="35">(F97*$E$6)+(F101*$E$7)+(F102*$E$8)+(F103*$E$8)+(F104*$E$8)</f>
        <v>0</v>
      </c>
      <c r="G105" s="286">
        <f>(G97*$E$6)+(G101*$E$7)+(G102*$E$8)+(G103*$E$8)+(G104*$E$8)</f>
        <v>0</v>
      </c>
      <c r="H105" s="286">
        <f>(H97*$E$6)+(H101*$E$7)+(H102*$E$8)+(H103*$E$8)+(H104*$E$8)</f>
        <v>0</v>
      </c>
      <c r="I105" s="286">
        <f t="shared" si="35"/>
        <v>0</v>
      </c>
      <c r="J105" s="286">
        <f t="shared" si="35"/>
        <v>0</v>
      </c>
      <c r="K105" s="286">
        <f t="shared" si="35"/>
        <v>0</v>
      </c>
      <c r="L105" s="286">
        <f t="shared" si="35"/>
        <v>0</v>
      </c>
      <c r="M105" s="286">
        <f t="shared" si="35"/>
        <v>0</v>
      </c>
      <c r="N105" s="286">
        <f t="shared" si="35"/>
        <v>0</v>
      </c>
      <c r="O105" s="286">
        <f t="shared" si="35"/>
        <v>0</v>
      </c>
      <c r="P105" s="286">
        <f t="shared" si="35"/>
        <v>0</v>
      </c>
      <c r="Q105" s="342">
        <f t="shared" ref="Q105:Q110" si="36">SUM(E105:P105)</f>
        <v>0</v>
      </c>
    </row>
    <row r="106" spans="2:17" ht="14.25" customHeight="1" x14ac:dyDescent="0.25">
      <c r="B106" s="4"/>
      <c r="C106" s="442" t="str">
        <f t="shared" si="34"/>
        <v xml:space="preserve"> BTW afdracht</v>
      </c>
      <c r="D106" s="501"/>
      <c r="E106" s="286">
        <f ca="1">(Verkoop!N61+Verkoop!O61+Verkoop!P61)-(Inkoop!N65+Inkoop!O65+Inkoop!P65)-(N71+O71+P71)-(N63+O63+P63)</f>
        <v>0</v>
      </c>
      <c r="F106" s="286"/>
      <c r="G106" s="286"/>
      <c r="H106" s="286">
        <f>(Verkoop!E91+Verkoop!F91+Verkoop!G91)-(Inkoop!E100+Inkoop!F100+Inkoop!G100)-(E105+F105+G105)</f>
        <v>0</v>
      </c>
      <c r="I106" s="286"/>
      <c r="J106" s="286"/>
      <c r="K106" s="286">
        <f>(Verkoop!H91+Verkoop!I91+Verkoop!J91)-(Inkoop!H100+Inkoop!I100+Inkoop!J100)-(H105+I105+J105)</f>
        <v>0</v>
      </c>
      <c r="L106" s="286"/>
      <c r="M106" s="286"/>
      <c r="N106" s="286">
        <f>(Verkoop!K91+Verkoop!L91+Verkoop!M91)-(Inkoop!K100+Inkoop!L100+Inkoop!M100)-(K105+L105+M105)</f>
        <v>0</v>
      </c>
      <c r="O106" s="286"/>
      <c r="P106" s="286"/>
      <c r="Q106" s="342">
        <f t="shared" ca="1" si="36"/>
        <v>0</v>
      </c>
    </row>
    <row r="107" spans="2:17" ht="14.25" customHeight="1" x14ac:dyDescent="0.25">
      <c r="B107" s="4"/>
      <c r="C107" s="442" t="str">
        <f t="shared" si="34"/>
        <v xml:space="preserve"> Rente Qredits</v>
      </c>
      <c r="D107" s="501"/>
      <c r="E107" s="286">
        <f ca="1">'Qredits maandlasten'!C36</f>
        <v>0</v>
      </c>
      <c r="F107" s="286">
        <f ca="1">'Qredits maandlasten'!D36</f>
        <v>0</v>
      </c>
      <c r="G107" s="286">
        <f ca="1">'Qredits maandlasten'!E36</f>
        <v>0</v>
      </c>
      <c r="H107" s="286">
        <f ca="1">'Qredits maandlasten'!F36</f>
        <v>0</v>
      </c>
      <c r="I107" s="286">
        <f ca="1">'Qredits maandlasten'!G36</f>
        <v>0</v>
      </c>
      <c r="J107" s="286">
        <f ca="1">'Qredits maandlasten'!H36</f>
        <v>0</v>
      </c>
      <c r="K107" s="286">
        <f ca="1">'Qredits maandlasten'!I36</f>
        <v>0</v>
      </c>
      <c r="L107" s="286">
        <f ca="1">'Qredits maandlasten'!J36</f>
        <v>0</v>
      </c>
      <c r="M107" s="286">
        <f ca="1">'Qredits maandlasten'!K36</f>
        <v>0</v>
      </c>
      <c r="N107" s="286">
        <f ca="1">'Qredits maandlasten'!L36</f>
        <v>0</v>
      </c>
      <c r="O107" s="286">
        <f ca="1">'Qredits maandlasten'!M36</f>
        <v>0</v>
      </c>
      <c r="P107" s="286">
        <f ca="1">'Qredits maandlasten'!N36</f>
        <v>0</v>
      </c>
      <c r="Q107" s="342">
        <f ca="1">SUM(E107:P107)</f>
        <v>0</v>
      </c>
    </row>
    <row r="108" spans="2:17" ht="14.25" customHeight="1" x14ac:dyDescent="0.25">
      <c r="B108" s="4"/>
      <c r="C108" s="442" t="str">
        <f t="shared" si="34"/>
        <v xml:space="preserve"> Aflossingen Qredits</v>
      </c>
      <c r="D108" s="501"/>
      <c r="E108" s="286">
        <f ca="1">'Qredits maandlasten'!C37</f>
        <v>0</v>
      </c>
      <c r="F108" s="286">
        <f ca="1">'Qredits maandlasten'!D37</f>
        <v>0</v>
      </c>
      <c r="G108" s="286">
        <f ca="1">'Qredits maandlasten'!E37</f>
        <v>0</v>
      </c>
      <c r="H108" s="286">
        <f ca="1">'Qredits maandlasten'!F37</f>
        <v>0</v>
      </c>
      <c r="I108" s="286">
        <f ca="1">'Qredits maandlasten'!G37</f>
        <v>0</v>
      </c>
      <c r="J108" s="286">
        <f ca="1">'Qredits maandlasten'!H37</f>
        <v>0</v>
      </c>
      <c r="K108" s="286">
        <f ca="1">'Qredits maandlasten'!I37</f>
        <v>0</v>
      </c>
      <c r="L108" s="286">
        <f ca="1">'Qredits maandlasten'!J37</f>
        <v>0</v>
      </c>
      <c r="M108" s="286">
        <f ca="1">'Qredits maandlasten'!K37</f>
        <v>0</v>
      </c>
      <c r="N108" s="286">
        <f ca="1">'Qredits maandlasten'!L37</f>
        <v>0</v>
      </c>
      <c r="O108" s="286">
        <f ca="1">'Qredits maandlasten'!M37</f>
        <v>0</v>
      </c>
      <c r="P108" s="286">
        <f ca="1">'Qredits maandlasten'!N37</f>
        <v>0</v>
      </c>
      <c r="Q108" s="342">
        <f ca="1">SUM(E108:P108)</f>
        <v>0</v>
      </c>
    </row>
    <row r="109" spans="2:17" ht="14.25" customHeight="1" x14ac:dyDescent="0.25">
      <c r="B109" s="4"/>
      <c r="C109" s="442" t="str">
        <f t="shared" si="34"/>
        <v xml:space="preserve"> Rente en kosten andere leningen</v>
      </c>
      <c r="D109" s="443"/>
      <c r="E109" s="344"/>
      <c r="F109" s="344"/>
      <c r="G109" s="344"/>
      <c r="H109" s="344"/>
      <c r="I109" s="344"/>
      <c r="J109" s="344"/>
      <c r="K109" s="344"/>
      <c r="L109" s="344"/>
      <c r="M109" s="344"/>
      <c r="N109" s="344"/>
      <c r="O109" s="344"/>
      <c r="P109" s="344"/>
      <c r="Q109" s="342">
        <f t="shared" si="36"/>
        <v>0</v>
      </c>
    </row>
    <row r="110" spans="2:17" ht="14.25" customHeight="1" x14ac:dyDescent="0.25">
      <c r="B110" s="4"/>
      <c r="C110" s="442" t="str">
        <f t="shared" si="34"/>
        <v xml:space="preserve"> Aflossing andere leningen</v>
      </c>
      <c r="D110" s="443"/>
      <c r="E110" s="344"/>
      <c r="F110" s="344"/>
      <c r="G110" s="344"/>
      <c r="H110" s="344"/>
      <c r="I110" s="344"/>
      <c r="J110" s="344"/>
      <c r="K110" s="344"/>
      <c r="L110" s="344"/>
      <c r="M110" s="344"/>
      <c r="N110" s="344"/>
      <c r="O110" s="344"/>
      <c r="P110" s="344"/>
      <c r="Q110" s="342">
        <f t="shared" si="36"/>
        <v>0</v>
      </c>
    </row>
    <row r="111" spans="2:17" ht="14.25" customHeight="1" x14ac:dyDescent="0.25">
      <c r="B111" s="4"/>
      <c r="C111" s="442" t="s">
        <v>422</v>
      </c>
      <c r="D111" s="443"/>
      <c r="E111" s="286">
        <f>IF($Q92=0,0,$Q111/12)</f>
        <v>0</v>
      </c>
      <c r="F111" s="286">
        <f t="shared" ref="F111:P111" si="37">IF($Q92=0,0,$Q111/12)</f>
        <v>0</v>
      </c>
      <c r="G111" s="286">
        <f t="shared" si="37"/>
        <v>0</v>
      </c>
      <c r="H111" s="286">
        <f t="shared" si="37"/>
        <v>0</v>
      </c>
      <c r="I111" s="286">
        <f t="shared" si="37"/>
        <v>0</v>
      </c>
      <c r="J111" s="286">
        <f t="shared" si="37"/>
        <v>0</v>
      </c>
      <c r="K111" s="286">
        <f t="shared" si="37"/>
        <v>0</v>
      </c>
      <c r="L111" s="286">
        <f t="shared" si="37"/>
        <v>0</v>
      </c>
      <c r="M111" s="286">
        <f t="shared" si="37"/>
        <v>0</v>
      </c>
      <c r="N111" s="286">
        <f t="shared" si="37"/>
        <v>0</v>
      </c>
      <c r="O111" s="286">
        <f t="shared" si="37"/>
        <v>0</v>
      </c>
      <c r="P111" s="286">
        <f t="shared" si="37"/>
        <v>0</v>
      </c>
      <c r="Q111" s="342">
        <f ca="1">Exploitatie!$H$30</f>
        <v>0</v>
      </c>
    </row>
    <row r="112" spans="2:17" ht="14.25" customHeight="1" x14ac:dyDescent="0.25">
      <c r="B112" s="4"/>
      <c r="C112" s="442" t="str">
        <f>IF(Privé!$D$7="B.V."," Salaris directie"," Privé onttrekking")</f>
        <v xml:space="preserve"> Privé onttrekking</v>
      </c>
      <c r="D112" s="501"/>
      <c r="E112" s="344">
        <f ca="1">IF(OR(YEAR('Investering &amp; Financiering'!$E$51)&lt;Liquiditeit!$C86,AND(YEAR('Investering &amp; Financiering'!$E$51)=Liquiditeit!$C86,MONTH('Investering &amp; Financiering'!$E$51)&lt;=E86)),Privé!$E$10/12,0)</f>
        <v>0</v>
      </c>
      <c r="F112" s="344">
        <f ca="1">IF(OR(YEAR('Investering &amp; Financiering'!$E$51)&lt;Liquiditeit!$C86,AND(YEAR('Investering &amp; Financiering'!$E$51)=Liquiditeit!$C86,MONTH('Investering &amp; Financiering'!$E$51)&lt;=F86)),Privé!$E$10/12,0)</f>
        <v>0</v>
      </c>
      <c r="G112" s="344">
        <f ca="1">IF(OR(YEAR('Investering &amp; Financiering'!$E$51)&lt;Liquiditeit!$C86,AND(YEAR('Investering &amp; Financiering'!$E$51)=Liquiditeit!$C86,MONTH('Investering &amp; Financiering'!$E$51)&lt;=G86)),Privé!$E$10/12,0)</f>
        <v>0</v>
      </c>
      <c r="H112" s="344">
        <f ca="1">IF(OR(YEAR('Investering &amp; Financiering'!$E$51)&lt;Liquiditeit!$C86,AND(YEAR('Investering &amp; Financiering'!$E$51)=Liquiditeit!$C86,MONTH('Investering &amp; Financiering'!$E$51)&lt;=H86)),Privé!$E$10/12,0)</f>
        <v>0</v>
      </c>
      <c r="I112" s="344">
        <f ca="1">IF(OR(YEAR('Investering &amp; Financiering'!$E$51)&lt;Liquiditeit!$C86,AND(YEAR('Investering &amp; Financiering'!$E$51)=Liquiditeit!$C86,MONTH('Investering &amp; Financiering'!$E$51)&lt;=I86)),Privé!$E$10/12,0)</f>
        <v>0</v>
      </c>
      <c r="J112" s="344">
        <f ca="1">IF(OR(YEAR('Investering &amp; Financiering'!$E$51)&lt;Liquiditeit!$C86,AND(YEAR('Investering &amp; Financiering'!$E$51)=Liquiditeit!$C86,MONTH('Investering &amp; Financiering'!$E$51)&lt;=J86)),Privé!$E$10/12,0)</f>
        <v>0</v>
      </c>
      <c r="K112" s="344">
        <f ca="1">IF(OR(YEAR('Investering &amp; Financiering'!$E$51)&lt;Liquiditeit!$C86,AND(YEAR('Investering &amp; Financiering'!$E$51)=Liquiditeit!$C86,MONTH('Investering &amp; Financiering'!$E$51)&lt;=K86)),Privé!$E$10/12,0)</f>
        <v>0</v>
      </c>
      <c r="L112" s="344">
        <f ca="1">IF(OR(YEAR('Investering &amp; Financiering'!$E$51)&lt;Liquiditeit!$C86,AND(YEAR('Investering &amp; Financiering'!$E$51)=Liquiditeit!$C86,MONTH('Investering &amp; Financiering'!$E$51)&lt;=L86)),Privé!$E$10/12,0)</f>
        <v>0</v>
      </c>
      <c r="M112" s="344">
        <f ca="1">IF(OR(YEAR('Investering &amp; Financiering'!$E$51)&lt;Liquiditeit!$C86,AND(YEAR('Investering &amp; Financiering'!$E$51)=Liquiditeit!$C86,MONTH('Investering &amp; Financiering'!$E$51)&lt;=M86)),Privé!$E$10/12,0)</f>
        <v>0</v>
      </c>
      <c r="N112" s="344">
        <f ca="1">IF(OR(YEAR('Investering &amp; Financiering'!$E$51)&lt;Liquiditeit!$C86,AND(YEAR('Investering &amp; Financiering'!$E$51)=Liquiditeit!$C86,MONTH('Investering &amp; Financiering'!$E$51)&lt;=N86)),Privé!$E$10/12,0)</f>
        <v>0</v>
      </c>
      <c r="O112" s="344">
        <f ca="1">IF(OR(YEAR('Investering &amp; Financiering'!$E$51)&lt;Liquiditeit!$C86,AND(YEAR('Investering &amp; Financiering'!$E$51)=Liquiditeit!$C86,MONTH('Investering &amp; Financiering'!$E$51)&lt;=O86)),Privé!$E$10/12,0)</f>
        <v>0</v>
      </c>
      <c r="P112" s="344">
        <f ca="1">IF(OR(YEAR('Investering &amp; Financiering'!$E$51)&lt;Liquiditeit!$C86,AND(YEAR('Investering &amp; Financiering'!$E$51)=Liquiditeit!$C86,MONTH('Investering &amp; Financiering'!$E$51)&lt;=P86)),Privé!$E$10/12,0)</f>
        <v>0</v>
      </c>
      <c r="Q112" s="342">
        <f ca="1">SUM(E112:P112)</f>
        <v>0</v>
      </c>
    </row>
    <row r="113" spans="2:17" ht="14.25" customHeight="1" x14ac:dyDescent="0.25">
      <c r="B113" s="4"/>
      <c r="C113" s="440" t="s">
        <v>41</v>
      </c>
      <c r="D113" s="441"/>
      <c r="E113" s="343">
        <f ca="1">SUM(E97:E112)</f>
        <v>0</v>
      </c>
      <c r="F113" s="343">
        <f t="shared" ref="F113:P113" ca="1" si="38">SUM(F97:F112)</f>
        <v>0</v>
      </c>
      <c r="G113" s="343">
        <f t="shared" ca="1" si="38"/>
        <v>0</v>
      </c>
      <c r="H113" s="343">
        <f t="shared" ca="1" si="38"/>
        <v>0</v>
      </c>
      <c r="I113" s="343">
        <f t="shared" ca="1" si="38"/>
        <v>0</v>
      </c>
      <c r="J113" s="343">
        <f t="shared" ca="1" si="38"/>
        <v>0</v>
      </c>
      <c r="K113" s="343">
        <f t="shared" ca="1" si="38"/>
        <v>0</v>
      </c>
      <c r="L113" s="343">
        <f t="shared" ca="1" si="38"/>
        <v>0</v>
      </c>
      <c r="M113" s="343">
        <f t="shared" ca="1" si="38"/>
        <v>0</v>
      </c>
      <c r="N113" s="343">
        <f t="shared" ca="1" si="38"/>
        <v>0</v>
      </c>
      <c r="O113" s="343">
        <f t="shared" ca="1" si="38"/>
        <v>0</v>
      </c>
      <c r="P113" s="343">
        <f t="shared" ca="1" si="38"/>
        <v>0</v>
      </c>
      <c r="Q113" s="342">
        <f ca="1">SUM(E113:P113)</f>
        <v>0</v>
      </c>
    </row>
    <row r="114" spans="2:17" ht="14.25" customHeight="1" x14ac:dyDescent="0.25">
      <c r="B114" s="4"/>
      <c r="C114" s="44"/>
      <c r="D114" s="44"/>
      <c r="E114" s="45"/>
      <c r="F114" s="45"/>
      <c r="G114" s="45"/>
      <c r="H114" s="45"/>
      <c r="I114" s="45"/>
      <c r="J114" s="45"/>
      <c r="K114" s="45"/>
      <c r="L114" s="45"/>
      <c r="M114" s="45"/>
      <c r="N114" s="45"/>
      <c r="O114" s="45"/>
      <c r="P114" s="45"/>
      <c r="Q114" s="45"/>
    </row>
    <row r="115" spans="2:17" ht="14.25" customHeight="1" x14ac:dyDescent="0.25">
      <c r="B115" s="4"/>
      <c r="C115" s="432" t="s">
        <v>43</v>
      </c>
      <c r="D115" s="433"/>
      <c r="E115" s="345">
        <f ca="1">E94-E113</f>
        <v>0</v>
      </c>
      <c r="F115" s="345">
        <f t="shared" ref="F115:P115" ca="1" si="39">F94-F113</f>
        <v>0</v>
      </c>
      <c r="G115" s="345">
        <f t="shared" ca="1" si="39"/>
        <v>0</v>
      </c>
      <c r="H115" s="345">
        <f t="shared" ca="1" si="39"/>
        <v>0</v>
      </c>
      <c r="I115" s="345">
        <f t="shared" ca="1" si="39"/>
        <v>0</v>
      </c>
      <c r="J115" s="345">
        <f t="shared" ca="1" si="39"/>
        <v>0</v>
      </c>
      <c r="K115" s="345">
        <f t="shared" ca="1" si="39"/>
        <v>0</v>
      </c>
      <c r="L115" s="345">
        <f t="shared" ca="1" si="39"/>
        <v>0</v>
      </c>
      <c r="M115" s="345">
        <f t="shared" ca="1" si="39"/>
        <v>0</v>
      </c>
      <c r="N115" s="345">
        <f t="shared" ca="1" si="39"/>
        <v>0</v>
      </c>
      <c r="O115" s="345">
        <f t="shared" ca="1" si="39"/>
        <v>0</v>
      </c>
      <c r="P115" s="345">
        <f t="shared" ca="1" si="39"/>
        <v>0</v>
      </c>
      <c r="Q115" s="346"/>
    </row>
    <row r="116" spans="2:17" ht="14.25" customHeight="1" x14ac:dyDescent="0.25">
      <c r="B116" s="4"/>
      <c r="C116" s="44"/>
      <c r="D116" s="44"/>
      <c r="E116" s="45"/>
      <c r="F116" s="45"/>
      <c r="G116" s="45"/>
      <c r="H116" s="45"/>
      <c r="I116" s="45"/>
      <c r="J116" s="45"/>
      <c r="K116" s="45"/>
      <c r="L116" s="45"/>
      <c r="M116" s="45"/>
      <c r="N116" s="45"/>
      <c r="O116" s="45"/>
      <c r="P116" s="45"/>
      <c r="Q116" s="45"/>
    </row>
    <row r="117" spans="2:17" ht="14.25" customHeight="1" x14ac:dyDescent="0.25">
      <c r="B117" s="4"/>
      <c r="C117" s="432" t="s">
        <v>42</v>
      </c>
      <c r="D117" s="433"/>
      <c r="E117" s="347">
        <f ca="1">E88+E115</f>
        <v>0</v>
      </c>
      <c r="F117" s="347">
        <f ca="1">F88+F115</f>
        <v>0</v>
      </c>
      <c r="G117" s="347">
        <f t="shared" ref="G117:P117" ca="1" si="40">G88+G115</f>
        <v>0</v>
      </c>
      <c r="H117" s="347">
        <f t="shared" ca="1" si="40"/>
        <v>0</v>
      </c>
      <c r="I117" s="347">
        <f t="shared" ca="1" si="40"/>
        <v>0</v>
      </c>
      <c r="J117" s="347">
        <f t="shared" ca="1" si="40"/>
        <v>0</v>
      </c>
      <c r="K117" s="347">
        <f t="shared" ca="1" si="40"/>
        <v>0</v>
      </c>
      <c r="L117" s="347">
        <f t="shared" ca="1" si="40"/>
        <v>0</v>
      </c>
      <c r="M117" s="347">
        <f t="shared" ca="1" si="40"/>
        <v>0</v>
      </c>
      <c r="N117" s="347">
        <f t="shared" ca="1" si="40"/>
        <v>0</v>
      </c>
      <c r="O117" s="347">
        <f t="shared" ca="1" si="40"/>
        <v>0</v>
      </c>
      <c r="P117" s="347">
        <f t="shared" ca="1" si="40"/>
        <v>0</v>
      </c>
      <c r="Q117" s="346"/>
    </row>
    <row r="119" spans="2:17" ht="14.25" customHeight="1" x14ac:dyDescent="0.25">
      <c r="B119" s="4"/>
    </row>
    <row r="120" spans="2:17" ht="14.25" customHeight="1" x14ac:dyDescent="0.25">
      <c r="B120" s="4"/>
    </row>
    <row r="122" spans="2:17" ht="154.5" customHeight="1" x14ac:dyDescent="0.25">
      <c r="C122" s="498" t="s">
        <v>421</v>
      </c>
      <c r="D122" s="499"/>
      <c r="E122" s="499"/>
      <c r="F122" s="499"/>
      <c r="G122" s="500"/>
      <c r="H122" s="352"/>
    </row>
    <row r="123" spans="2:17" ht="14.25" customHeight="1" x14ac:dyDescent="0.25">
      <c r="C123" s="147" t="s">
        <v>197</v>
      </c>
    </row>
  </sheetData>
  <sheetProtection formatColumns="0"/>
  <customSheetViews>
    <customSheetView guid="{E8D2897D-F373-4833-ABA9-6A8879B86992}">
      <selection activeCell="E12" sqref="E12"/>
      <rowBreaks count="1" manualBreakCount="1">
        <brk id="42" min="1" max="18" man="1"/>
      </rowBreaks>
      <pageMargins left="0.75" right="0.75" top="1" bottom="1" header="0.5" footer="0.5"/>
      <pageSetup paperSize="9" scale="70" orientation="landscape" r:id="rId1"/>
      <headerFooter alignWithMargins="0"/>
    </customSheetView>
  </customSheetViews>
  <mergeCells count="100">
    <mergeCell ref="C3:G3"/>
    <mergeCell ref="C79:D79"/>
    <mergeCell ref="C81:D81"/>
    <mergeCell ref="C83:D83"/>
    <mergeCell ref="C57:D57"/>
    <mergeCell ref="C59:D59"/>
    <mergeCell ref="C18:D18"/>
    <mergeCell ref="C19:D19"/>
    <mergeCell ref="C21:D21"/>
    <mergeCell ref="C34:D34"/>
    <mergeCell ref="C33:D33"/>
    <mergeCell ref="C26:D26"/>
    <mergeCell ref="C27:D27"/>
    <mergeCell ref="C32:D32"/>
    <mergeCell ref="C28:D28"/>
    <mergeCell ref="C35:D35"/>
    <mergeCell ref="U28:V28"/>
    <mergeCell ref="U29:V29"/>
    <mergeCell ref="U30:V30"/>
    <mergeCell ref="U31:V31"/>
    <mergeCell ref="U32:V32"/>
    <mergeCell ref="C36:D36"/>
    <mergeCell ref="C117:D117"/>
    <mergeCell ref="C115:D115"/>
    <mergeCell ref="C113:D113"/>
    <mergeCell ref="C43:D43"/>
    <mergeCell ref="C53:D53"/>
    <mergeCell ref="C54:D54"/>
    <mergeCell ref="C37:D37"/>
    <mergeCell ref="C38:D38"/>
    <mergeCell ref="C50:D50"/>
    <mergeCell ref="C52:D52"/>
    <mergeCell ref="C45:D45"/>
    <mergeCell ref="C40:D40"/>
    <mergeCell ref="C41:D41"/>
    <mergeCell ref="C49:D49"/>
    <mergeCell ref="C39:D39"/>
    <mergeCell ref="C5:D5"/>
    <mergeCell ref="C23:D23"/>
    <mergeCell ref="C24:D24"/>
    <mergeCell ref="C16:D16"/>
    <mergeCell ref="C17:D17"/>
    <mergeCell ref="C20:D20"/>
    <mergeCell ref="C6:D6"/>
    <mergeCell ref="C15:D15"/>
    <mergeCell ref="C7:D7"/>
    <mergeCell ref="C8:D8"/>
    <mergeCell ref="C29:D29"/>
    <mergeCell ref="C30:D30"/>
    <mergeCell ref="C31:D31"/>
    <mergeCell ref="C11:D11"/>
    <mergeCell ref="C12:D12"/>
    <mergeCell ref="C14:D14"/>
    <mergeCell ref="C25:D25"/>
    <mergeCell ref="C61:D61"/>
    <mergeCell ref="C62:D62"/>
    <mergeCell ref="C64:D64"/>
    <mergeCell ref="C65:D65"/>
    <mergeCell ref="C55:D55"/>
    <mergeCell ref="C56:D56"/>
    <mergeCell ref="C58:D58"/>
    <mergeCell ref="C63:D63"/>
    <mergeCell ref="C78:D78"/>
    <mergeCell ref="C77:D77"/>
    <mergeCell ref="C66:D66"/>
    <mergeCell ref="C67:D67"/>
    <mergeCell ref="C68:D68"/>
    <mergeCell ref="C69:D69"/>
    <mergeCell ref="C70:D70"/>
    <mergeCell ref="C71:D71"/>
    <mergeCell ref="C72:D72"/>
    <mergeCell ref="C73:D73"/>
    <mergeCell ref="C74:D74"/>
    <mergeCell ref="C75:D75"/>
    <mergeCell ref="C76:D76"/>
    <mergeCell ref="C104:D104"/>
    <mergeCell ref="C87:D87"/>
    <mergeCell ref="C88:D88"/>
    <mergeCell ref="C90:D90"/>
    <mergeCell ref="C96:D96"/>
    <mergeCell ref="C97:D97"/>
    <mergeCell ref="C98:D98"/>
    <mergeCell ref="C93:D93"/>
    <mergeCell ref="C92:D92"/>
    <mergeCell ref="C94:D94"/>
    <mergeCell ref="C91:D91"/>
    <mergeCell ref="C99:D99"/>
    <mergeCell ref="C100:D100"/>
    <mergeCell ref="C101:D101"/>
    <mergeCell ref="C102:D102"/>
    <mergeCell ref="C103:D103"/>
    <mergeCell ref="C122:G122"/>
    <mergeCell ref="C112:D112"/>
    <mergeCell ref="C105:D105"/>
    <mergeCell ref="C106:D106"/>
    <mergeCell ref="C107:D107"/>
    <mergeCell ref="C108:D108"/>
    <mergeCell ref="C109:D109"/>
    <mergeCell ref="C110:D110"/>
    <mergeCell ref="C111:D111"/>
  </mergeCells>
  <phoneticPr fontId="2" type="noConversion"/>
  <dataValidations count="1">
    <dataValidation type="list" allowBlank="1" showInputMessage="1" showErrorMessage="1" sqref="E6:E8" xr:uid="{00000000-0002-0000-0600-000000000000}">
      <formula1>BTW</formula1>
    </dataValidation>
  </dataValidations>
  <hyperlinks>
    <hyperlink ref="A2" r:id="rId2" xr:uid="{00000000-0004-0000-0600-000000000000}"/>
    <hyperlink ref="C1" location="Liquiditeit!C120" display="Hoe vul ik dit in?" xr:uid="{00000000-0004-0000-0600-000001000000}"/>
    <hyperlink ref="C123" location="Liquiditeit!A1" display="naar boven" xr:uid="{00000000-0004-0000-0600-000002000000}"/>
  </hyperlinks>
  <pageMargins left="0.25" right="0.25" top="0.75" bottom="0.75" header="0.3" footer="0.3"/>
  <pageSetup paperSize="9" scale="77" fitToHeight="0" orientation="landscape" r:id="rId3"/>
  <headerFooter alignWithMargins="0"/>
  <rowBreaks count="2" manualBreakCount="2">
    <brk id="46" min="1" max="17" man="1"/>
    <brk id="84" min="1" max="17" man="1"/>
  </rowBreaks>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tabColor rgb="FF232572"/>
    <pageSetUpPr fitToPage="1"/>
  </sheetPr>
  <dimension ref="A1:P81"/>
  <sheetViews>
    <sheetView topLeftCell="A14" zoomScale="90" zoomScaleNormal="90" zoomScaleSheetLayoutView="85" workbookViewId="0">
      <selection activeCell="F14" sqref="F14"/>
    </sheetView>
  </sheetViews>
  <sheetFormatPr defaultRowHeight="14.25" customHeight="1" x14ac:dyDescent="0.25"/>
  <cols>
    <col min="1" max="1" width="10" style="1" bestFit="1" customWidth="1"/>
    <col min="2" max="2" width="10" style="1" customWidth="1"/>
    <col min="3" max="3" width="21.28515625" style="1" customWidth="1"/>
    <col min="4" max="4" width="9.7109375" style="1" bestFit="1" customWidth="1"/>
    <col min="5" max="5" width="13.85546875" style="1" customWidth="1"/>
    <col min="6" max="8" width="20.5703125" style="1" customWidth="1"/>
    <col min="9" max="9" width="6" style="1" bestFit="1" customWidth="1"/>
    <col min="10" max="16384" width="9.140625" style="1"/>
  </cols>
  <sheetData>
    <row r="1" spans="1:9" ht="15" x14ac:dyDescent="0.25">
      <c r="A1" s="4"/>
      <c r="B1" s="4"/>
      <c r="C1" s="147" t="s">
        <v>199</v>
      </c>
    </row>
    <row r="2" spans="1:9" ht="15" x14ac:dyDescent="0.25">
      <c r="A2" s="147" t="s">
        <v>200</v>
      </c>
      <c r="B2" s="147"/>
      <c r="I2" s="2"/>
    </row>
    <row r="3" spans="1:9" ht="31.5" x14ac:dyDescent="0.5">
      <c r="C3" s="150" t="s">
        <v>85</v>
      </c>
    </row>
    <row r="5" spans="1:9" ht="15" x14ac:dyDescent="0.25">
      <c r="A5" s="4"/>
      <c r="B5" s="4"/>
      <c r="C5" s="2"/>
      <c r="D5" s="2"/>
      <c r="E5" s="2"/>
    </row>
    <row r="6" spans="1:9" ht="15" x14ac:dyDescent="0.25">
      <c r="A6" s="4"/>
      <c r="B6" s="4"/>
      <c r="C6" s="2"/>
      <c r="D6" s="2"/>
      <c r="E6" s="2"/>
    </row>
    <row r="7" spans="1:9" ht="15" x14ac:dyDescent="0.25">
      <c r="A7" s="4"/>
      <c r="B7" s="4"/>
      <c r="C7" s="2"/>
      <c r="D7" s="2"/>
      <c r="E7" s="2"/>
    </row>
    <row r="8" spans="1:9" ht="14.25" customHeight="1" x14ac:dyDescent="0.25">
      <c r="C8" s="508" t="s">
        <v>56</v>
      </c>
      <c r="D8" s="509"/>
      <c r="E8" s="509"/>
      <c r="F8" s="247">
        <f>Intro!B4</f>
        <v>2023</v>
      </c>
      <c r="G8" s="247">
        <f>F8+1</f>
        <v>2024</v>
      </c>
      <c r="H8" s="251">
        <f>G8+1</f>
        <v>2025</v>
      </c>
    </row>
    <row r="9" spans="1:9" ht="14.25" customHeight="1" x14ac:dyDescent="0.25">
      <c r="C9" s="440" t="s">
        <v>57</v>
      </c>
      <c r="D9" s="441"/>
      <c r="E9" s="441"/>
      <c r="F9" s="378">
        <f>Verkoop!Q30</f>
        <v>0</v>
      </c>
      <c r="G9" s="378">
        <f>Verkoop!Q60</f>
        <v>0</v>
      </c>
      <c r="H9" s="379">
        <f>Verkoop!Q90</f>
        <v>0</v>
      </c>
    </row>
    <row r="10" spans="1:9" ht="14.25" customHeight="1" x14ac:dyDescent="0.25">
      <c r="C10" s="442" t="s">
        <v>58</v>
      </c>
      <c r="D10" s="443"/>
      <c r="E10" s="443"/>
      <c r="F10" s="380">
        <f>Inkoop!I36</f>
        <v>0</v>
      </c>
      <c r="G10" s="380">
        <f>Inkoop!I71</f>
        <v>0</v>
      </c>
      <c r="H10" s="271">
        <f>Inkoop!I106</f>
        <v>0</v>
      </c>
    </row>
    <row r="11" spans="1:9" ht="14.25" customHeight="1" x14ac:dyDescent="0.25">
      <c r="C11" s="440" t="s">
        <v>59</v>
      </c>
      <c r="D11" s="441"/>
      <c r="E11" s="441"/>
      <c r="F11" s="378">
        <f>F9-F10</f>
        <v>0</v>
      </c>
      <c r="G11" s="378">
        <f>G9-G10</f>
        <v>0</v>
      </c>
      <c r="H11" s="379">
        <f>H9-H10</f>
        <v>0</v>
      </c>
    </row>
    <row r="12" spans="1:9" ht="14.25" customHeight="1" x14ac:dyDescent="0.25">
      <c r="C12" s="485" t="s">
        <v>60</v>
      </c>
      <c r="D12" s="486"/>
      <c r="E12" s="486"/>
      <c r="F12" s="381">
        <f>IF(F9&lt;1,0,F11/F9)</f>
        <v>0</v>
      </c>
      <c r="G12" s="381">
        <f>IF(G9&lt;1,0,G11/G9)</f>
        <v>0</v>
      </c>
      <c r="H12" s="382">
        <f>IF(H9&lt;1,0,H11/H9)</f>
        <v>0</v>
      </c>
    </row>
    <row r="13" spans="1:9" ht="14.25" customHeight="1" x14ac:dyDescent="0.25">
      <c r="C13" s="44"/>
      <c r="D13" s="44"/>
      <c r="E13" s="44"/>
      <c r="F13" s="174"/>
      <c r="G13" s="174"/>
      <c r="H13" s="174"/>
    </row>
    <row r="14" spans="1:9" ht="14.25" customHeight="1" x14ac:dyDescent="0.25">
      <c r="C14" s="479" t="str">
        <f>IF(Privé!$D$7="B.V.","Salaris directie","")</f>
        <v/>
      </c>
      <c r="D14" s="482"/>
      <c r="E14" s="482"/>
      <c r="F14" s="383" t="str">
        <f>IF(Privé!$D$7="B.V.",Liquiditeit!$Q$40,"")</f>
        <v/>
      </c>
      <c r="G14" s="383" t="str">
        <f>IF(Privé!$D$7="B.V.",Liquiditeit!$Q$78,"")</f>
        <v/>
      </c>
      <c r="H14" s="384" t="str">
        <f>IF(Privé!$D$7="B.V.",Liquiditeit!$Q$112,"")</f>
        <v/>
      </c>
    </row>
    <row r="15" spans="1:9" ht="14.25" customHeight="1" x14ac:dyDescent="0.25">
      <c r="C15" s="442" t="s">
        <v>61</v>
      </c>
      <c r="D15" s="443"/>
      <c r="E15" s="443"/>
      <c r="F15" s="380">
        <f>Liquiditeit!Q28</f>
        <v>0</v>
      </c>
      <c r="G15" s="380">
        <f>Liquiditeit!Q66</f>
        <v>0</v>
      </c>
      <c r="H15" s="271">
        <f>Liquiditeit!Q100</f>
        <v>0</v>
      </c>
    </row>
    <row r="16" spans="1:9" ht="14.25" customHeight="1" x14ac:dyDescent="0.25">
      <c r="C16" s="442" t="s">
        <v>80</v>
      </c>
      <c r="D16" s="443"/>
      <c r="E16" s="443"/>
      <c r="F16" s="380">
        <f>Liquiditeit!Q29</f>
        <v>0</v>
      </c>
      <c r="G16" s="380">
        <f>Liquiditeit!Q67</f>
        <v>0</v>
      </c>
      <c r="H16" s="271">
        <f>Liquiditeit!Q101</f>
        <v>0</v>
      </c>
    </row>
    <row r="17" spans="1:10" ht="14.25" customHeight="1" x14ac:dyDescent="0.25">
      <c r="C17" s="442" t="s">
        <v>81</v>
      </c>
      <c r="D17" s="443"/>
      <c r="E17" s="443"/>
      <c r="F17" s="380">
        <f>Liquiditeit!Q30</f>
        <v>0</v>
      </c>
      <c r="G17" s="380">
        <f>Liquiditeit!Q68</f>
        <v>0</v>
      </c>
      <c r="H17" s="271">
        <f>Liquiditeit!Q102</f>
        <v>0</v>
      </c>
    </row>
    <row r="18" spans="1:10" ht="14.25" customHeight="1" x14ac:dyDescent="0.25">
      <c r="A18" s="4"/>
      <c r="B18" s="4"/>
      <c r="C18" s="442" t="s">
        <v>82</v>
      </c>
      <c r="D18" s="443"/>
      <c r="E18" s="443"/>
      <c r="F18" s="380">
        <f>Liquiditeit!Q31</f>
        <v>0</v>
      </c>
      <c r="G18" s="380">
        <f>Liquiditeit!Q69</f>
        <v>0</v>
      </c>
      <c r="H18" s="271">
        <f>Liquiditeit!Q103</f>
        <v>0</v>
      </c>
    </row>
    <row r="19" spans="1:10" ht="14.25" customHeight="1" x14ac:dyDescent="0.25">
      <c r="C19" s="442" t="s">
        <v>86</v>
      </c>
      <c r="D19" s="443"/>
      <c r="E19" s="443"/>
      <c r="F19" s="380">
        <f ca="1">Liquiditeit!Q32+'Qredits maandlasten'!O20</f>
        <v>0</v>
      </c>
      <c r="G19" s="380">
        <f ca="1">Liquiditeit!Q70+'Qredits maandlasten'!O29</f>
        <v>0</v>
      </c>
      <c r="H19" s="271">
        <f ca="1">Liquiditeit!Q104+'Qredits maandlasten'!O38</f>
        <v>0</v>
      </c>
    </row>
    <row r="20" spans="1:10" ht="14.25" customHeight="1" x14ac:dyDescent="0.25">
      <c r="C20" s="442" t="s">
        <v>28</v>
      </c>
      <c r="D20" s="443"/>
      <c r="E20" s="443"/>
      <c r="F20" s="380">
        <f>F75+Verkoop!Q36</f>
        <v>0</v>
      </c>
      <c r="G20" s="380">
        <f>G75+Verkoop!Q66</f>
        <v>0</v>
      </c>
      <c r="H20" s="271">
        <f>H75+Verkoop!Q96</f>
        <v>0</v>
      </c>
    </row>
    <row r="21" spans="1:10" ht="14.25" customHeight="1" x14ac:dyDescent="0.25">
      <c r="C21" s="440" t="s">
        <v>62</v>
      </c>
      <c r="D21" s="441"/>
      <c r="E21" s="441"/>
      <c r="F21" s="378">
        <f ca="1">SUM(F14:F20)</f>
        <v>0</v>
      </c>
      <c r="G21" s="378">
        <f t="shared" ref="G21:H21" ca="1" si="0">SUM(G14:G20)</f>
        <v>0</v>
      </c>
      <c r="H21" s="378">
        <f t="shared" ca="1" si="0"/>
        <v>0</v>
      </c>
    </row>
    <row r="22" spans="1:10" ht="14.25" customHeight="1" x14ac:dyDescent="0.25">
      <c r="C22" s="238"/>
      <c r="D22" s="385"/>
      <c r="E22" s="385"/>
      <c r="F22" s="386"/>
      <c r="G22" s="386"/>
      <c r="H22" s="387"/>
    </row>
    <row r="23" spans="1:10" ht="14.25" customHeight="1" x14ac:dyDescent="0.25">
      <c r="C23" s="442" t="s">
        <v>63</v>
      </c>
      <c r="D23" s="443"/>
      <c r="E23" s="443"/>
      <c r="F23" s="380">
        <f ca="1">Liquiditeit!Q35+Liquiditeit!Q37</f>
        <v>0</v>
      </c>
      <c r="G23" s="380">
        <f ca="1">Liquiditeit!Q73+Liquiditeit!Q75</f>
        <v>0</v>
      </c>
      <c r="H23" s="271">
        <f ca="1">Liquiditeit!Q107+Liquiditeit!Q109</f>
        <v>0</v>
      </c>
    </row>
    <row r="24" spans="1:10" ht="14.25" customHeight="1" x14ac:dyDescent="0.25">
      <c r="C24" s="256"/>
      <c r="D24" s="244"/>
      <c r="E24" s="244"/>
      <c r="F24" s="386"/>
      <c r="G24" s="386"/>
      <c r="H24" s="387"/>
    </row>
    <row r="25" spans="1:10" ht="14.25" customHeight="1" x14ac:dyDescent="0.25">
      <c r="C25" s="440" t="s">
        <v>64</v>
      </c>
      <c r="D25" s="441"/>
      <c r="E25" s="441"/>
      <c r="F25" s="378">
        <f ca="1">F11-F21-F23</f>
        <v>0</v>
      </c>
      <c r="G25" s="378">
        <f ca="1">G11-G21-G23</f>
        <v>0</v>
      </c>
      <c r="H25" s="379">
        <f ca="1">H11-H21-H23</f>
        <v>0</v>
      </c>
    </row>
    <row r="26" spans="1:10" ht="14.25" customHeight="1" x14ac:dyDescent="0.25">
      <c r="C26" s="49"/>
      <c r="D26" s="49"/>
      <c r="E26" s="49"/>
      <c r="F26" s="49"/>
      <c r="G26" s="49"/>
      <c r="H26" s="49"/>
      <c r="I26" s="49"/>
      <c r="J26" s="49"/>
    </row>
    <row r="27" spans="1:10" ht="14.25" customHeight="1" x14ac:dyDescent="0.25">
      <c r="C27" s="44"/>
      <c r="D27" s="44"/>
      <c r="E27" s="44"/>
      <c r="F27" s="44"/>
      <c r="G27" s="44"/>
      <c r="H27" s="44"/>
    </row>
    <row r="28" spans="1:10" ht="14.25" customHeight="1" x14ac:dyDescent="0.25">
      <c r="C28" s="479" t="s">
        <v>241</v>
      </c>
      <c r="D28" s="482"/>
      <c r="E28" s="482"/>
      <c r="F28" s="383">
        <f ca="1">IF(Privé!$D$7="B.V.","",IB!$J$4+IB!$P$4+IB!$V$4)</f>
        <v>0</v>
      </c>
      <c r="G28" s="383">
        <f ca="1">IF(Privé!$D$7="B.V.","",IB!$J$65+IB!$P$65+IB!$V$65)</f>
        <v>8400</v>
      </c>
      <c r="H28" s="384">
        <f ca="1">IF(Privé!$D$7="B.V.","",IB!$J$125+IB!$P$125+IB!$V$125)</f>
        <v>5600.0000000000009</v>
      </c>
    </row>
    <row r="29" spans="1:10" ht="14.25" customHeight="1" x14ac:dyDescent="0.25">
      <c r="C29" s="479" t="s">
        <v>67</v>
      </c>
      <c r="D29" s="482"/>
      <c r="E29" s="482"/>
      <c r="F29" s="383">
        <f ca="1">IF(Privé!$D$7="B.V.","",SUM(IB!$B$12:$D$12))</f>
        <v>0</v>
      </c>
      <c r="G29" s="383">
        <f ca="1">IF(Privé!$D$7="B.V.","",SUM(IB!$B$32:$D$32))</f>
        <v>0</v>
      </c>
      <c r="H29" s="383">
        <f ca="1">IF(Privé!$D$7="B.V.","",SUM(IB!$B$52:$D$52))</f>
        <v>0</v>
      </c>
    </row>
    <row r="30" spans="1:10" ht="14.25" customHeight="1" x14ac:dyDescent="0.25">
      <c r="C30" s="442" t="str">
        <f>IF(Privé!$D$7="B.V.","VB bedrag","IB bedrag")</f>
        <v>IB bedrag</v>
      </c>
      <c r="D30" s="443"/>
      <c r="E30" s="443"/>
      <c r="F30" s="383">
        <f ca="1">IF(F25&lt;0,0,IF(AND(Privé!$D$7="B.V.",F25&lt;200001),F25*0.2,IF(AND(Privé!$D$7="B.V.",F25&gt;200000),(200000*0.2)+(F25-200000)*0.255,SUM(IB!$B$15:$D$15))))</f>
        <v>0</v>
      </c>
      <c r="G30" s="383">
        <f ca="1">IF(G25&lt;0,0,IF(AND(Privé!$D$7="B.V.",G25&lt;200001),G25*0.2,IF(AND(Privé!$D$7="B.V.",G25&gt;200000),(200000*0.2)+(G25-200000)*0.255,SUM(IB!$B$35:$D$35))))</f>
        <v>0</v>
      </c>
      <c r="H30" s="383">
        <f ca="1">IF(H25&lt;0,0,IF(AND(Privé!$D$7="B.V.",H25&lt;200001),H25*0.2,IF(AND(Privé!$D$7="B.V.",H25&gt;200000),(200000*0.2)+(H25-200000)*0.255,SUM(IB!$B$55:$D$55))))</f>
        <v>0</v>
      </c>
    </row>
    <row r="31" spans="1:10" ht="14.25" customHeight="1" x14ac:dyDescent="0.25">
      <c r="C31" s="440" t="s">
        <v>65</v>
      </c>
      <c r="D31" s="441"/>
      <c r="E31" s="441"/>
      <c r="F31" s="378">
        <f ca="1">F25-F30</f>
        <v>0</v>
      </c>
      <c r="G31" s="378">
        <f ca="1">G25-G30</f>
        <v>0</v>
      </c>
      <c r="H31" s="379">
        <f ca="1">H25-H30</f>
        <v>0</v>
      </c>
    </row>
    <row r="32" spans="1:10" ht="14.25" customHeight="1" x14ac:dyDescent="0.25">
      <c r="C32" s="49"/>
      <c r="D32" s="49"/>
      <c r="E32" s="49"/>
      <c r="F32" s="175"/>
      <c r="G32" s="175"/>
      <c r="H32" s="175"/>
    </row>
    <row r="33" spans="3:8" ht="14.25" customHeight="1" x14ac:dyDescent="0.25">
      <c r="C33" s="479" t="s">
        <v>69</v>
      </c>
      <c r="D33" s="482"/>
      <c r="E33" s="482"/>
      <c r="F33" s="388">
        <f ca="1">IF(Privé!$D$7="B.V.","",Liquiditeit!Q40)</f>
        <v>0</v>
      </c>
      <c r="G33" s="388">
        <f ca="1">IF(Privé!$D$7="B.V.","",Liquiditeit!Q78)</f>
        <v>0</v>
      </c>
      <c r="H33" s="389">
        <f ca="1">IF(Privé!$D$7="B.V.","",Liquiditeit!Q112)</f>
        <v>0</v>
      </c>
    </row>
    <row r="34" spans="3:8" ht="14.25" customHeight="1" x14ac:dyDescent="0.25">
      <c r="C34" s="44"/>
      <c r="D34" s="44"/>
      <c r="E34" s="44"/>
      <c r="F34" s="175"/>
      <c r="G34" s="175"/>
      <c r="H34" s="175"/>
    </row>
    <row r="35" spans="3:8" ht="14.25" customHeight="1" x14ac:dyDescent="0.25">
      <c r="C35" s="432" t="s">
        <v>66</v>
      </c>
      <c r="D35" s="433"/>
      <c r="E35" s="433"/>
      <c r="F35" s="388">
        <f ca="1">IF(Privé!$D$7="B.V.","",F31-F33)</f>
        <v>0</v>
      </c>
      <c r="G35" s="388">
        <f ca="1">IF(Privé!$D$7="B.V.","",G31-G33)</f>
        <v>0</v>
      </c>
      <c r="H35" s="388">
        <f ca="1">IF(Privé!$D$7="B.V.","",H31-H33)</f>
        <v>0</v>
      </c>
    </row>
    <row r="38" spans="3:8" ht="14.25" customHeight="1" x14ac:dyDescent="0.25">
      <c r="C38" s="510" t="s">
        <v>70</v>
      </c>
      <c r="D38" s="511"/>
      <c r="E38" s="511"/>
      <c r="F38" s="393">
        <f>F8</f>
        <v>2023</v>
      </c>
      <c r="G38" s="393">
        <f>G8</f>
        <v>2024</v>
      </c>
      <c r="H38" s="394">
        <f>H8</f>
        <v>2025</v>
      </c>
    </row>
    <row r="39" spans="3:8" ht="14.25" customHeight="1" x14ac:dyDescent="0.25">
      <c r="C39" s="440" t="s">
        <v>65</v>
      </c>
      <c r="D39" s="441"/>
      <c r="E39" s="441"/>
      <c r="F39" s="378">
        <f ca="1">F31</f>
        <v>0</v>
      </c>
      <c r="G39" s="378">
        <f ca="1">G31</f>
        <v>0</v>
      </c>
      <c r="H39" s="379">
        <f ca="1">H31</f>
        <v>0</v>
      </c>
    </row>
    <row r="40" spans="3:8" ht="14.25" customHeight="1" x14ac:dyDescent="0.25">
      <c r="C40" s="442" t="s">
        <v>71</v>
      </c>
      <c r="D40" s="443"/>
      <c r="E40" s="443"/>
      <c r="F40" s="380">
        <f ca="1">F23</f>
        <v>0</v>
      </c>
      <c r="G40" s="380">
        <f ca="1">G23</f>
        <v>0</v>
      </c>
      <c r="H40" s="271">
        <f ca="1">H23</f>
        <v>0</v>
      </c>
    </row>
    <row r="41" spans="3:8" ht="14.25" customHeight="1" x14ac:dyDescent="0.25">
      <c r="C41" s="440" t="s">
        <v>72</v>
      </c>
      <c r="D41" s="441"/>
      <c r="E41" s="441"/>
      <c r="F41" s="378">
        <f ca="1">F39+F40</f>
        <v>0</v>
      </c>
      <c r="G41" s="378">
        <f ca="1">G39+G40</f>
        <v>0</v>
      </c>
      <c r="H41" s="379">
        <f ca="1">H39+H40</f>
        <v>0</v>
      </c>
    </row>
    <row r="42" spans="3:8" ht="14.25" customHeight="1" x14ac:dyDescent="0.25">
      <c r="C42" s="49"/>
      <c r="D42" s="49"/>
      <c r="E42" s="49"/>
      <c r="F42" s="175"/>
      <c r="G42" s="175"/>
      <c r="H42" s="175"/>
    </row>
    <row r="43" spans="3:8" ht="14.25" customHeight="1" x14ac:dyDescent="0.25">
      <c r="C43" s="479" t="s">
        <v>28</v>
      </c>
      <c r="D43" s="482"/>
      <c r="E43" s="482"/>
      <c r="F43" s="383">
        <f>F20</f>
        <v>0</v>
      </c>
      <c r="G43" s="383">
        <f>G20</f>
        <v>0</v>
      </c>
      <c r="H43" s="384">
        <f>H20</f>
        <v>0</v>
      </c>
    </row>
    <row r="44" spans="3:8" ht="14.25" customHeight="1" x14ac:dyDescent="0.25">
      <c r="C44" s="44"/>
      <c r="D44" s="44"/>
      <c r="E44" s="44"/>
      <c r="F44" s="174"/>
      <c r="G44" s="174"/>
      <c r="H44" s="174"/>
    </row>
    <row r="45" spans="3:8" ht="14.25" customHeight="1" x14ac:dyDescent="0.25">
      <c r="C45" s="432" t="s">
        <v>73</v>
      </c>
      <c r="D45" s="433"/>
      <c r="E45" s="433"/>
      <c r="F45" s="388">
        <f ca="1">F41+F43</f>
        <v>0</v>
      </c>
      <c r="G45" s="388">
        <f ca="1">G41+G43</f>
        <v>0</v>
      </c>
      <c r="H45" s="389">
        <f ca="1">H41+H43</f>
        <v>0</v>
      </c>
    </row>
    <row r="46" spans="3:8" ht="14.25" customHeight="1" x14ac:dyDescent="0.25">
      <c r="C46" s="49"/>
      <c r="D46" s="49"/>
      <c r="E46" s="49"/>
      <c r="F46" s="176"/>
      <c r="G46" s="176"/>
      <c r="H46" s="176"/>
    </row>
    <row r="47" spans="3:8" ht="14.25" customHeight="1" x14ac:dyDescent="0.25">
      <c r="C47" s="479" t="s">
        <v>226</v>
      </c>
      <c r="D47" s="482"/>
      <c r="E47" s="392" t="s">
        <v>295</v>
      </c>
      <c r="F47" s="390"/>
      <c r="G47" s="390">
        <v>30000</v>
      </c>
      <c r="H47" s="391">
        <v>20000</v>
      </c>
    </row>
    <row r="48" spans="3:8" ht="14.25" customHeight="1" x14ac:dyDescent="0.25">
      <c r="C48" s="44"/>
      <c r="D48" s="44"/>
      <c r="E48" s="44"/>
      <c r="F48" s="176"/>
      <c r="G48" s="176"/>
      <c r="H48" s="176"/>
    </row>
    <row r="49" spans="3:12" ht="14.25" customHeight="1" x14ac:dyDescent="0.25">
      <c r="C49" s="432" t="s">
        <v>74</v>
      </c>
      <c r="D49" s="433"/>
      <c r="E49" s="433"/>
      <c r="F49" s="388">
        <f ca="1">F45-F47</f>
        <v>0</v>
      </c>
      <c r="G49" s="388">
        <f ca="1">G45-G47</f>
        <v>-30000</v>
      </c>
      <c r="H49" s="389">
        <f ca="1">H45-H47</f>
        <v>-20000</v>
      </c>
    </row>
    <row r="50" spans="3:12" ht="14.25" customHeight="1" x14ac:dyDescent="0.25">
      <c r="C50" s="49"/>
      <c r="D50" s="49"/>
      <c r="E50" s="49"/>
      <c r="F50" s="175"/>
      <c r="G50" s="175"/>
      <c r="H50" s="175"/>
    </row>
    <row r="51" spans="3:12" ht="14.25" customHeight="1" x14ac:dyDescent="0.25">
      <c r="C51" s="479" t="s">
        <v>69</v>
      </c>
      <c r="D51" s="482"/>
      <c r="E51" s="482"/>
      <c r="F51" s="383">
        <f ca="1">F33</f>
        <v>0</v>
      </c>
      <c r="G51" s="383">
        <f ca="1">G33</f>
        <v>0</v>
      </c>
      <c r="H51" s="384">
        <f ca="1">H33</f>
        <v>0</v>
      </c>
    </row>
    <row r="52" spans="3:12" ht="14.25" customHeight="1" x14ac:dyDescent="0.25">
      <c r="C52" s="442" t="s">
        <v>71</v>
      </c>
      <c r="D52" s="443"/>
      <c r="E52" s="443"/>
      <c r="F52" s="380">
        <f ca="1">F23</f>
        <v>0</v>
      </c>
      <c r="G52" s="380">
        <f ca="1">G23</f>
        <v>0</v>
      </c>
      <c r="H52" s="271">
        <f ca="1">H23</f>
        <v>0</v>
      </c>
    </row>
    <row r="53" spans="3:12" ht="14.25" customHeight="1" x14ac:dyDescent="0.25">
      <c r="C53" s="442" t="s">
        <v>75</v>
      </c>
      <c r="D53" s="443"/>
      <c r="E53" s="443"/>
      <c r="F53" s="380">
        <f ca="1">Liquiditeit!Q36+Liquiditeit!Q38</f>
        <v>0</v>
      </c>
      <c r="G53" s="380">
        <f ca="1">Liquiditeit!Q74+Liquiditeit!Q76</f>
        <v>0</v>
      </c>
      <c r="H53" s="271">
        <f ca="1">Liquiditeit!Q108+Liquiditeit!Q110</f>
        <v>0</v>
      </c>
    </row>
    <row r="54" spans="3:12" ht="14.25" customHeight="1" x14ac:dyDescent="0.25">
      <c r="C54" s="44"/>
      <c r="D54" s="44"/>
      <c r="E54" s="44"/>
      <c r="F54" s="175"/>
      <c r="G54" s="175"/>
      <c r="H54" s="175"/>
    </row>
    <row r="55" spans="3:12" ht="14.25" customHeight="1" x14ac:dyDescent="0.25">
      <c r="C55" s="432" t="s">
        <v>76</v>
      </c>
      <c r="D55" s="433"/>
      <c r="E55" s="433"/>
      <c r="F55" s="388">
        <f ca="1">F49-IF(F51="",0,F51)-F52-F53</f>
        <v>0</v>
      </c>
      <c r="G55" s="388">
        <f t="shared" ref="G55:H55" ca="1" si="1">G49-IF(G51="",0,G51)-G52-G53</f>
        <v>-30000</v>
      </c>
      <c r="H55" s="388">
        <f t="shared" ca="1" si="1"/>
        <v>-20000</v>
      </c>
    </row>
    <row r="57" spans="3:12" ht="14.25" customHeight="1" x14ac:dyDescent="0.25">
      <c r="E57" s="2"/>
    </row>
    <row r="58" spans="3:12" ht="14.25" customHeight="1" x14ac:dyDescent="0.25">
      <c r="C58" s="432" t="s">
        <v>405</v>
      </c>
      <c r="D58" s="433"/>
      <c r="E58" s="433"/>
      <c r="F58" s="401" t="s">
        <v>151</v>
      </c>
      <c r="G58" s="247" t="s">
        <v>409</v>
      </c>
      <c r="H58" s="402" t="s">
        <v>83</v>
      </c>
      <c r="I58" s="44"/>
      <c r="J58" s="44"/>
      <c r="K58" s="44"/>
      <c r="L58" s="44"/>
    </row>
    <row r="59" spans="3:12" ht="14.25" customHeight="1" x14ac:dyDescent="0.25">
      <c r="C59" s="442" t="str">
        <f>'Investering &amp; Financiering'!$C$9</f>
        <v>Aankoop onroerend goed</v>
      </c>
      <c r="D59" s="443"/>
      <c r="E59" s="443"/>
      <c r="F59" s="395">
        <v>40</v>
      </c>
      <c r="G59" s="286">
        <f>'Investering &amp; Financiering'!$G$9</f>
        <v>0</v>
      </c>
      <c r="H59" s="396">
        <f t="shared" ref="H59" si="2">IF(F59=0,0,1/F59)</f>
        <v>2.5000000000000001E-2</v>
      </c>
      <c r="I59" s="44"/>
      <c r="J59" s="44"/>
      <c r="K59" s="44"/>
      <c r="L59" s="44"/>
    </row>
    <row r="60" spans="3:12" ht="14.25" customHeight="1" x14ac:dyDescent="0.25">
      <c r="C60" s="442" t="str">
        <f>'Investering &amp; Financiering'!$C$10</f>
        <v xml:space="preserve">Verbouwing </v>
      </c>
      <c r="D60" s="443"/>
      <c r="E60" s="443"/>
      <c r="F60" s="395">
        <v>20</v>
      </c>
      <c r="G60" s="286">
        <f>'Investering &amp; Financiering'!$G$10</f>
        <v>0</v>
      </c>
      <c r="H60" s="396">
        <f t="shared" ref="H60:H65" si="3">IF(F60=0,0,1/F60)</f>
        <v>0.05</v>
      </c>
      <c r="I60" s="44"/>
      <c r="J60" s="44"/>
      <c r="K60" s="44"/>
      <c r="L60" s="44"/>
    </row>
    <row r="61" spans="3:12" ht="14.25" customHeight="1" x14ac:dyDescent="0.25">
      <c r="C61" s="442" t="str">
        <f>'Investering &amp; Financiering'!$C$11</f>
        <v>Inventaris en inrichting</v>
      </c>
      <c r="D61" s="443"/>
      <c r="E61" s="443"/>
      <c r="F61" s="395">
        <v>5</v>
      </c>
      <c r="G61" s="286">
        <f>'Investering &amp; Financiering'!$G$11</f>
        <v>0</v>
      </c>
      <c r="H61" s="396">
        <f t="shared" si="3"/>
        <v>0.2</v>
      </c>
      <c r="I61" s="44"/>
      <c r="J61" s="44"/>
      <c r="K61" s="44"/>
      <c r="L61" s="44"/>
    </row>
    <row r="62" spans="3:12" ht="14.25" customHeight="1" x14ac:dyDescent="0.25">
      <c r="C62" s="442" t="str">
        <f>'Investering &amp; Financiering'!$C$12</f>
        <v>Computer en software</v>
      </c>
      <c r="D62" s="443"/>
      <c r="E62" s="443"/>
      <c r="F62" s="397">
        <v>3</v>
      </c>
      <c r="G62" s="286">
        <f>'Investering &amp; Financiering'!$G$12</f>
        <v>0</v>
      </c>
      <c r="H62" s="396">
        <f t="shared" si="3"/>
        <v>0.33333333333333331</v>
      </c>
      <c r="I62" s="44"/>
      <c r="J62" s="44"/>
      <c r="K62" s="44"/>
      <c r="L62" s="44"/>
    </row>
    <row r="63" spans="3:12" ht="14.25" customHeight="1" x14ac:dyDescent="0.25">
      <c r="C63" s="442" t="str">
        <f>'Investering &amp; Financiering'!$C$13</f>
        <v>Transportmiddel</v>
      </c>
      <c r="D63" s="443"/>
      <c r="E63" s="443"/>
      <c r="F63" s="397">
        <v>3</v>
      </c>
      <c r="G63" s="286">
        <f>'Investering &amp; Financiering'!$G$13</f>
        <v>0</v>
      </c>
      <c r="H63" s="396">
        <f t="shared" si="3"/>
        <v>0.33333333333333331</v>
      </c>
      <c r="I63" s="44"/>
      <c r="J63" s="44"/>
      <c r="K63" s="44"/>
      <c r="L63" s="44"/>
    </row>
    <row r="64" spans="3:12" ht="14.25" customHeight="1" x14ac:dyDescent="0.25">
      <c r="C64" s="442" t="str">
        <f>'Investering &amp; Financiering'!$C$14</f>
        <v>Goodwill / franchisefee / Huurgarantie</v>
      </c>
      <c r="D64" s="443"/>
      <c r="E64" s="443"/>
      <c r="F64" s="397">
        <v>5</v>
      </c>
      <c r="G64" s="286">
        <f>'Investering &amp; Financiering'!$G$14</f>
        <v>0</v>
      </c>
      <c r="H64" s="396">
        <f t="shared" si="3"/>
        <v>0.2</v>
      </c>
      <c r="I64" s="44"/>
      <c r="J64" s="44"/>
      <c r="K64" s="44"/>
      <c r="L64" s="44"/>
    </row>
    <row r="65" spans="3:16" ht="14.25" customHeight="1" x14ac:dyDescent="0.25">
      <c r="C65" s="442" t="str">
        <f>'Investering &amp; Financiering'!$C$15</f>
        <v>Overig</v>
      </c>
      <c r="D65" s="443"/>
      <c r="E65" s="443"/>
      <c r="F65" s="397">
        <v>10</v>
      </c>
      <c r="G65" s="286">
        <f>'Investering &amp; Financiering'!$G$15</f>
        <v>0</v>
      </c>
      <c r="H65" s="396">
        <f t="shared" si="3"/>
        <v>0.1</v>
      </c>
      <c r="I65" s="44"/>
      <c r="J65" s="44"/>
      <c r="K65" s="44"/>
      <c r="L65" s="44"/>
    </row>
    <row r="66" spans="3:16" ht="14.25" customHeight="1" x14ac:dyDescent="0.25">
      <c r="C66" s="44"/>
      <c r="D66" s="44"/>
      <c r="E66" s="49"/>
      <c r="F66" s="44"/>
      <c r="G66" s="44"/>
      <c r="H66" s="44"/>
      <c r="I66" s="44"/>
      <c r="J66" s="44"/>
      <c r="K66" s="44"/>
      <c r="L66" s="44"/>
    </row>
    <row r="67" spans="3:16" ht="14.25" customHeight="1" x14ac:dyDescent="0.25">
      <c r="C67" s="432" t="s">
        <v>29</v>
      </c>
      <c r="D67" s="433"/>
      <c r="E67" s="433"/>
      <c r="F67" s="246">
        <f>Intro!$B$4</f>
        <v>2023</v>
      </c>
      <c r="G67" s="246">
        <f>F67+1</f>
        <v>2024</v>
      </c>
      <c r="H67" s="248">
        <f>G67+1</f>
        <v>2025</v>
      </c>
      <c r="I67" s="44"/>
      <c r="J67" s="44"/>
      <c r="K67" s="44"/>
      <c r="L67" s="44"/>
      <c r="P67" s="73"/>
    </row>
    <row r="68" spans="3:16" ht="14.25" customHeight="1" x14ac:dyDescent="0.25">
      <c r="C68" s="442" t="str">
        <f>'Investering &amp; Financiering'!$C$9</f>
        <v>Aankoop onroerend goed</v>
      </c>
      <c r="D68" s="443"/>
      <c r="E68" s="443"/>
      <c r="F68" s="398">
        <f>IF($G59&lt;1,0,IF(F$67&lt;YEAR('Investering &amp; Financiering'!$E$51),0,IF(F$67=YEAR('Investering &amp; Financiering'!$E$51),$H59*$G59*(12-MONTH('Investering &amp; Financiering'!$E$51)+1)/12,$H59*$G59)))</f>
        <v>0</v>
      </c>
      <c r="G68" s="398">
        <f>IF($G59&lt;1,0,IF(G$67&lt;YEAR('Investering &amp; Financiering'!$E$51),0,IF(G$67=YEAR('Investering &amp; Financiering'!$E$51),$H59*$G59*(12-MONTH('Investering &amp; Financiering'!$E$51)+1)/12,IF($G59-SUM($F68:F68)&lt;$H59*$G59,$G59-SUM($F68:F68),$H59*$G59))))</f>
        <v>0</v>
      </c>
      <c r="H68" s="399">
        <f>IF($G59&lt;1,0,IF(H$67&lt;YEAR('Investering &amp; Financiering'!$E$51),0,IF(H$67=YEAR('Investering &amp; Financiering'!$E$51),$H59*$G59*(12-MONTH('Investering &amp; Financiering'!$E$51)+1)/12,IF($G59-SUM($F68:G68)&lt;$H59*$G59,$G59-SUM($F68:G68),$H59*$G59))))</f>
        <v>0</v>
      </c>
      <c r="I68" s="44"/>
      <c r="J68" s="44"/>
      <c r="K68" s="44"/>
      <c r="L68" s="44"/>
      <c r="P68" s="74"/>
    </row>
    <row r="69" spans="3:16" ht="14.25" customHeight="1" x14ac:dyDescent="0.25">
      <c r="C69" s="442" t="str">
        <f>'Investering &amp; Financiering'!$C$10</f>
        <v xml:space="preserve">Verbouwing </v>
      </c>
      <c r="D69" s="443"/>
      <c r="E69" s="443"/>
      <c r="F69" s="398">
        <f>IF($G60&lt;1,0,IF(F$67&lt;YEAR('Investering &amp; Financiering'!$E$51),0,IF(F$67=YEAR('Investering &amp; Financiering'!$E$51),$H60*$G60*(12-MONTH('Investering &amp; Financiering'!$E$51)+1)/12,$H60*$G60)))</f>
        <v>0</v>
      </c>
      <c r="G69" s="398">
        <f>IF($G60&lt;1,0,IF(G$67&lt;YEAR('Investering &amp; Financiering'!$E$51),0,IF(G$67=YEAR('Investering &amp; Financiering'!$E$51),$H60*$G60*(12-MONTH('Investering &amp; Financiering'!$E$51)+1)/12,IF($G60-SUM($F69:F69)&lt;$H60*$G60,$G60-SUM($F69:F69),$H60*$G60))))</f>
        <v>0</v>
      </c>
      <c r="H69" s="399">
        <f>IF($G60&lt;1,0,IF(H$67&lt;YEAR('Investering &amp; Financiering'!$E$51),0,IF(H$67=YEAR('Investering &amp; Financiering'!$E$51),$H60*$G60*(12-MONTH('Investering &amp; Financiering'!$E$51)+1)/12,IF($G60-SUM($F69:G69)&lt;$H60*$G60,$G60-SUM($F69:G69),$H60*$G60))))</f>
        <v>0</v>
      </c>
      <c r="I69" s="44"/>
      <c r="J69" s="44"/>
      <c r="K69" s="44"/>
      <c r="L69" s="44"/>
      <c r="P69" s="74"/>
    </row>
    <row r="70" spans="3:16" ht="14.25" customHeight="1" x14ac:dyDescent="0.25">
      <c r="C70" s="442" t="str">
        <f>'Investering &amp; Financiering'!$C$11</f>
        <v>Inventaris en inrichting</v>
      </c>
      <c r="D70" s="443"/>
      <c r="E70" s="443"/>
      <c r="F70" s="398">
        <f>IF($G61&lt;1,0,IF(F$67&lt;YEAR('Investering &amp; Financiering'!$E$51),0,IF(F$67=YEAR('Investering &amp; Financiering'!$E$51),$H61*$G61*(12-MONTH('Investering &amp; Financiering'!$E$51)+1)/12,$H61*$G61)))</f>
        <v>0</v>
      </c>
      <c r="G70" s="398">
        <f>IF($G61&lt;1,0,IF(G$67&lt;YEAR('Investering &amp; Financiering'!$E$51),0,IF(G$67=YEAR('Investering &amp; Financiering'!$E$51),$H61*$G61*(12-MONTH('Investering &amp; Financiering'!$E$51)+1)/12,IF($G61-SUM($F70:F70)&lt;$H61*$G61,$G61-SUM($F70:F70),$H61*$G61))))</f>
        <v>0</v>
      </c>
      <c r="H70" s="399">
        <f>IF($G61&lt;1,0,IF(H$67&lt;YEAR('Investering &amp; Financiering'!$E$51),0,IF(H$67=YEAR('Investering &amp; Financiering'!$E$51),$H61*$G61*(12-MONTH('Investering &amp; Financiering'!$E$51)+1)/12,IF($G61-SUM($F70:G70)&lt;$H61*$G61,$G61-SUM($F70:G70),$H61*$G61))))</f>
        <v>0</v>
      </c>
      <c r="I70" s="44"/>
      <c r="J70" s="44"/>
      <c r="K70" s="44"/>
      <c r="L70" s="44"/>
      <c r="P70" s="74"/>
    </row>
    <row r="71" spans="3:16" ht="14.25" customHeight="1" x14ac:dyDescent="0.25">
      <c r="C71" s="442" t="str">
        <f>'Investering &amp; Financiering'!$C$12</f>
        <v>Computer en software</v>
      </c>
      <c r="D71" s="443"/>
      <c r="E71" s="443"/>
      <c r="F71" s="398">
        <f>IF($G62&lt;1,0,IF(F$67&lt;YEAR('Investering &amp; Financiering'!$E$51),0,IF(F$67=YEAR('Investering &amp; Financiering'!$E$51),$H62*$G62*(12-MONTH('Investering &amp; Financiering'!$E$51)+1)/12,$H62*$G62)))</f>
        <v>0</v>
      </c>
      <c r="G71" s="398">
        <f>IF($G62&lt;1,0,IF(G$67&lt;YEAR('Investering &amp; Financiering'!$E$51),0,IF(G$67=YEAR('Investering &amp; Financiering'!$E$51),$H62*$G62*(12-MONTH('Investering &amp; Financiering'!$E$51)+1)/12,IF($G62-SUM($F71:F71)&lt;$H62*$G62,$G62-SUM($F71:F71),$H62*$G62))))</f>
        <v>0</v>
      </c>
      <c r="H71" s="399">
        <f>IF($G62&lt;1,0,IF(H$67&lt;YEAR('Investering &amp; Financiering'!$E$51),0,IF(H$67=YEAR('Investering &amp; Financiering'!$E$51),$H62*$G62*(12-MONTH('Investering &amp; Financiering'!$E$51)+1)/12,IF($G62-SUM($F71:G71)&lt;$H62*$G62,$G62-SUM($F71:G71),$H62*$G62))))</f>
        <v>0</v>
      </c>
      <c r="I71" s="44"/>
      <c r="J71" s="44"/>
      <c r="K71" s="44"/>
      <c r="L71" s="44"/>
      <c r="P71" s="74"/>
    </row>
    <row r="72" spans="3:16" ht="14.25" customHeight="1" x14ac:dyDescent="0.25">
      <c r="C72" s="442" t="str">
        <f>'Investering &amp; Financiering'!$C$13</f>
        <v>Transportmiddel</v>
      </c>
      <c r="D72" s="443"/>
      <c r="E72" s="443"/>
      <c r="F72" s="398">
        <f>IF($G63&lt;1,0,IF(F$67&lt;YEAR('Investering &amp; Financiering'!$E$51),0,IF(F$67=YEAR('Investering &amp; Financiering'!$E$51),$H63*$G63*(12-MONTH('Investering &amp; Financiering'!$E$51)+1)/12,$H63*$G63)))</f>
        <v>0</v>
      </c>
      <c r="G72" s="398">
        <f>IF($G63&lt;1,0,IF(G$67&lt;YEAR('Investering &amp; Financiering'!$E$51),0,IF(G$67=YEAR('Investering &amp; Financiering'!$E$51),$H63*$G63*(12-MONTH('Investering &amp; Financiering'!$E$51)+1)/12,IF($G63-SUM($F72:F72)&lt;$H63*$G63,$G63-SUM($F72:F72),$H63*$G63))))</f>
        <v>0</v>
      </c>
      <c r="H72" s="399">
        <f>IF($G63&lt;1,0,IF(H$67&lt;YEAR('Investering &amp; Financiering'!$E$51),0,IF(H$67=YEAR('Investering &amp; Financiering'!$E$51),$H63*$G63*(12-MONTH('Investering &amp; Financiering'!$E$51)+1)/12,IF($G63-SUM($F72:G72)&lt;$H63*$G63,$G63-SUM($F72:G72),$H63*$G63))))</f>
        <v>0</v>
      </c>
      <c r="I72" s="44"/>
      <c r="J72" s="44"/>
      <c r="K72" s="44"/>
      <c r="L72" s="44"/>
      <c r="P72" s="74"/>
    </row>
    <row r="73" spans="3:16" ht="14.25" customHeight="1" x14ac:dyDescent="0.25">
      <c r="C73" s="442" t="str">
        <f>'Investering &amp; Financiering'!$C$14</f>
        <v>Goodwill / franchisefee / Huurgarantie</v>
      </c>
      <c r="D73" s="443"/>
      <c r="E73" s="443"/>
      <c r="F73" s="398">
        <f>IF($G64&lt;1,0,IF(F$67&lt;YEAR('Investering &amp; Financiering'!$E$51),0,IF(F$67=YEAR('Investering &amp; Financiering'!$E$51),$H64*$G64*(12-MONTH('Investering &amp; Financiering'!$E$51)+1)/12,$H64*$G64)))</f>
        <v>0</v>
      </c>
      <c r="G73" s="398">
        <f>IF($G64&lt;1,0,IF(G$67&lt;YEAR('Investering &amp; Financiering'!$E$51),0,IF(G$67=YEAR('Investering &amp; Financiering'!$E$51),$H64*$G64*(12-MONTH('Investering &amp; Financiering'!$E$51)+1)/12,IF($G64-SUM($F73:F73)&lt;$H64*$G64,$G64-SUM($F73:F73),$H64*$G64))))</f>
        <v>0</v>
      </c>
      <c r="H73" s="399">
        <f>IF($G64&lt;1,0,IF(H$67&lt;YEAR('Investering &amp; Financiering'!$E$51),0,IF(H$67=YEAR('Investering &amp; Financiering'!$E$51),$H64*$G64*(12-MONTH('Investering &amp; Financiering'!$E$51)+1)/12,IF($G64-SUM($F73:G73)&lt;$H64*$G64,$G64-SUM($F73:G73),$H64*$G64))))</f>
        <v>0</v>
      </c>
      <c r="I73" s="44"/>
      <c r="J73" s="44"/>
      <c r="K73" s="44"/>
      <c r="L73" s="44"/>
      <c r="P73" s="74"/>
    </row>
    <row r="74" spans="3:16" ht="14.25" customHeight="1" x14ac:dyDescent="0.25">
      <c r="C74" s="442" t="str">
        <f>'Investering &amp; Financiering'!$C$15</f>
        <v>Overig</v>
      </c>
      <c r="D74" s="443"/>
      <c r="E74" s="443"/>
      <c r="F74" s="398">
        <f>IF($G65&lt;1,0,IF(F$67&lt;YEAR('Investering &amp; Financiering'!$E$51),0,IF(F$67=YEAR('Investering &amp; Financiering'!$E$51),$H65*$G65*(12-MONTH('Investering &amp; Financiering'!$E$51)+1)/12,$H65*$G65)))</f>
        <v>0</v>
      </c>
      <c r="G74" s="398">
        <f>IF($G65&lt;1,0,IF(G$67&lt;YEAR('Investering &amp; Financiering'!$E$51),0,IF(G$67=YEAR('Investering &amp; Financiering'!$E$51),$H65*$G65*(12-MONTH('Investering &amp; Financiering'!$E$51)+1)/12,IF($G65-SUM($F74:F74)&lt;$H65*$G65,$G65-SUM($F74:F74),$H65*$G65))))</f>
        <v>0</v>
      </c>
      <c r="H74" s="399">
        <f>IF($G65&lt;1,0,IF(H$67&lt;YEAR('Investering &amp; Financiering'!$E$51),0,IF(H$67=YEAR('Investering &amp; Financiering'!$E$51),$H65*$G65*(12-MONTH('Investering &amp; Financiering'!$E$51)+1)/12,IF($G65-SUM($F74:G74)&lt;$H65*$G65,$G65-SUM($F74:G74),$H65*$G65))))</f>
        <v>0</v>
      </c>
      <c r="I74" s="44"/>
      <c r="J74" s="44"/>
      <c r="K74" s="44"/>
      <c r="L74" s="44"/>
      <c r="P74" s="74"/>
    </row>
    <row r="75" spans="3:16" ht="14.25" customHeight="1" x14ac:dyDescent="0.25">
      <c r="C75" s="440" t="s">
        <v>84</v>
      </c>
      <c r="D75" s="441"/>
      <c r="E75" s="441"/>
      <c r="F75" s="400">
        <f>SUM(F68:F74)</f>
        <v>0</v>
      </c>
      <c r="G75" s="400">
        <f>SUM(G68:G74)</f>
        <v>0</v>
      </c>
      <c r="H75" s="400">
        <f t="shared" ref="H75" si="4">SUM(H68:H74)</f>
        <v>0</v>
      </c>
      <c r="I75" s="44"/>
      <c r="J75" s="44"/>
      <c r="K75" s="44"/>
      <c r="L75" s="44"/>
    </row>
    <row r="78" spans="3:16" ht="15" x14ac:dyDescent="0.25"/>
    <row r="79" spans="3:16" ht="95.25" customHeight="1" x14ac:dyDescent="0.25">
      <c r="C79" s="498" t="s">
        <v>461</v>
      </c>
      <c r="D79" s="499"/>
      <c r="E79" s="499"/>
      <c r="F79" s="500"/>
    </row>
    <row r="80" spans="3:16" ht="14.25" customHeight="1" x14ac:dyDescent="0.25">
      <c r="C80" s="147" t="s">
        <v>197</v>
      </c>
    </row>
    <row r="81" spans="3:3" ht="14.25" customHeight="1" x14ac:dyDescent="0.25">
      <c r="C81" s="147" t="s">
        <v>201</v>
      </c>
    </row>
  </sheetData>
  <sheetProtection algorithmName="SHA-512" hashValue="169FU300msPJ/tF32eA/8vo826SRt6GJoi5Em9KfO8BK56aD3fhta2CXssI0i4m5/BCOu+Thnz98ZNqjnUzhxQ==" saltValue="m+WJfGBSEqKjwm6VeE3q6Q==" spinCount="100000" sheet="1" objects="1" scenarios="1"/>
  <customSheetViews>
    <customSheetView guid="{E8D2897D-F373-4833-ABA9-6A8879B86992}" fitToPage="1">
      <selection activeCell="C44" sqref="C44"/>
      <pageMargins left="0.75" right="0.75" top="1" bottom="1" header="0.5" footer="0.5"/>
      <pageSetup paperSize="9" scale="56" orientation="landscape" r:id="rId1"/>
      <headerFooter alignWithMargins="0"/>
    </customSheetView>
  </customSheetViews>
  <mergeCells count="51">
    <mergeCell ref="C73:E73"/>
    <mergeCell ref="C74:E74"/>
    <mergeCell ref="C75:E75"/>
    <mergeCell ref="C67:E67"/>
    <mergeCell ref="C69:E69"/>
    <mergeCell ref="C70:E70"/>
    <mergeCell ref="C71:E71"/>
    <mergeCell ref="C72:E72"/>
    <mergeCell ref="C68:E68"/>
    <mergeCell ref="C61:E61"/>
    <mergeCell ref="C62:E62"/>
    <mergeCell ref="C63:E63"/>
    <mergeCell ref="C64:E64"/>
    <mergeCell ref="C65:E65"/>
    <mergeCell ref="C52:E52"/>
    <mergeCell ref="C53:E53"/>
    <mergeCell ref="C55:E55"/>
    <mergeCell ref="C58:E58"/>
    <mergeCell ref="C60:E60"/>
    <mergeCell ref="C59:E59"/>
    <mergeCell ref="C43:E43"/>
    <mergeCell ref="C45:E45"/>
    <mergeCell ref="C47:D47"/>
    <mergeCell ref="C49:E49"/>
    <mergeCell ref="C51:E51"/>
    <mergeCell ref="C35:E35"/>
    <mergeCell ref="C38:E38"/>
    <mergeCell ref="C39:E39"/>
    <mergeCell ref="C40:E40"/>
    <mergeCell ref="C41:E41"/>
    <mergeCell ref="C28:E28"/>
    <mergeCell ref="C29:E29"/>
    <mergeCell ref="C30:E30"/>
    <mergeCell ref="C31:E31"/>
    <mergeCell ref="C33:E33"/>
    <mergeCell ref="C79:F79"/>
    <mergeCell ref="C9:E9"/>
    <mergeCell ref="C8:E8"/>
    <mergeCell ref="C10:E10"/>
    <mergeCell ref="C11:E11"/>
    <mergeCell ref="C12:E12"/>
    <mergeCell ref="C15:E15"/>
    <mergeCell ref="C16:E16"/>
    <mergeCell ref="C14:E14"/>
    <mergeCell ref="C17:E17"/>
    <mergeCell ref="C18:E18"/>
    <mergeCell ref="C19:E19"/>
    <mergeCell ref="C20:E20"/>
    <mergeCell ref="C21:E21"/>
    <mergeCell ref="C23:E23"/>
    <mergeCell ref="C25:E25"/>
  </mergeCells>
  <phoneticPr fontId="2" type="noConversion"/>
  <hyperlinks>
    <hyperlink ref="C80" location="Exploitatie!A1" display="naar boven" xr:uid="{00000000-0004-0000-0700-000000000000}"/>
    <hyperlink ref="A2" r:id="rId2" xr:uid="{00000000-0004-0000-0700-000001000000}"/>
    <hyperlink ref="C1" location="Exploitatie!C89" display="Hoe vul ik dit in?" xr:uid="{00000000-0004-0000-0700-000002000000}"/>
    <hyperlink ref="C81" r:id="rId3" xr:uid="{00000000-0004-0000-0700-000003000000}"/>
  </hyperlinks>
  <pageMargins left="0.25" right="0.25" top="0.75" bottom="0.75" header="0.3" footer="0.3"/>
  <pageSetup paperSize="9" scale="82" fitToHeight="0" orientation="portrait" r:id="rId4"/>
  <headerFooter alignWithMargins="0"/>
  <drawing r:id="rId5"/>
  <legacyDrawing r:id="rId6"/>
  <extLst>
    <ext xmlns:x14="http://schemas.microsoft.com/office/spreadsheetml/2009/9/main" uri="{78C0D931-6437-407d-A8EE-F0AAD7539E65}">
      <x14:conditionalFormattings>
        <x14:conditionalFormatting xmlns:xm="http://schemas.microsoft.com/office/excel/2006/main">
          <x14:cfRule type="expression" priority="2" stopIfTrue="1" id="{59E5A883-088F-4EB3-9921-0AC9F03B6DB9}">
            <xm:f>Privé!$D$7&lt;&gt;Dropdowns!$R$4</xm:f>
            <x14:dxf>
              <font>
                <color theme="0"/>
              </font>
              <fill>
                <patternFill>
                  <fgColor theme="0"/>
                </patternFill>
              </fill>
              <border>
                <left/>
                <right/>
                <top/>
                <bottom/>
                <vertical/>
                <horizontal/>
              </border>
            </x14:dxf>
          </x14:cfRule>
          <xm:sqref>C14:H14</xm:sqref>
        </x14:conditionalFormatting>
        <x14:conditionalFormatting xmlns:xm="http://schemas.microsoft.com/office/excel/2006/main">
          <x14:cfRule type="expression" priority="1" id="{8A8E5169-228C-4EB9-B42A-7717E6E1AF11}">
            <xm:f>Privé!$D$7="B.V."</xm:f>
            <x14:dxf>
              <font>
                <color theme="0"/>
              </font>
              <fill>
                <patternFill>
                  <fgColor theme="0"/>
                </patternFill>
              </fill>
              <border>
                <left/>
                <right/>
                <top/>
                <bottom/>
                <vertical/>
                <horizontal/>
              </border>
            </x14:dxf>
          </x14:cfRule>
          <xm:sqref>C28:H29 C33:H35 C51:H51</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232572"/>
    <pageSetUpPr fitToPage="1"/>
  </sheetPr>
  <dimension ref="A2:R211"/>
  <sheetViews>
    <sheetView zoomScale="90" zoomScaleNormal="90" workbookViewId="0">
      <selection activeCell="C4" sqref="C4"/>
    </sheetView>
  </sheetViews>
  <sheetFormatPr defaultRowHeight="15" x14ac:dyDescent="0.25"/>
  <cols>
    <col min="1" max="1" width="9.140625" style="1"/>
    <col min="2" max="2" width="29.85546875" style="1" customWidth="1"/>
    <col min="3" max="14" width="13.85546875" style="1" bestFit="1" customWidth="1"/>
    <col min="15" max="15" width="12.7109375" style="1" customWidth="1"/>
    <col min="16" max="16" width="12.7109375" style="65" customWidth="1"/>
    <col min="17" max="17" width="25.42578125" style="1" bestFit="1" customWidth="1"/>
    <col min="18" max="18" width="25.28515625" style="1" customWidth="1"/>
    <col min="19" max="20" width="9.140625" style="1" customWidth="1"/>
    <col min="21" max="21" width="9.28515625" style="1" customWidth="1"/>
    <col min="22" max="22" width="9.140625" style="1" customWidth="1"/>
    <col min="23" max="16384" width="9.140625" style="1"/>
  </cols>
  <sheetData>
    <row r="2" spans="1:18" ht="31.5" x14ac:dyDescent="0.5">
      <c r="B2" s="150" t="s">
        <v>107</v>
      </c>
    </row>
    <row r="3" spans="1:18" ht="18.75" customHeight="1" x14ac:dyDescent="0.25">
      <c r="B3" s="94" t="s">
        <v>155</v>
      </c>
      <c r="D3" s="2"/>
      <c r="F3" s="37"/>
    </row>
    <row r="4" spans="1:18" x14ac:dyDescent="0.25">
      <c r="B4" s="356" t="s">
        <v>48</v>
      </c>
      <c r="C4" s="357">
        <f>'Investering &amp; Financiering'!$E$49</f>
        <v>0</v>
      </c>
      <c r="E4" s="479" t="str">
        <f>IF(C10="Annuïteit","Bedrag annuïteit",IF(C10="Lineair","Bedrag maandelijkse aflossing",""))</f>
        <v>Bedrag annuïteit</v>
      </c>
      <c r="F4" s="482" t="str">
        <f>IF(B13="Annuïteit","Bedrag annuïteit",IF(B13="Lineair","Bedrag maandelijkse aflossing",""))</f>
        <v/>
      </c>
      <c r="G4" s="482" t="str">
        <f>IF(C13="Annuïteit","Bedrag annuïteit",IF(C13="Lineair","Bedrag maandelijkse aflossing",""))</f>
        <v/>
      </c>
      <c r="H4" s="365">
        <f>IF(C10="Lineair",C9,IFERROR((($C$8/12)*C4/(1-(1+$C$8/12)^-($C$7-'Investering &amp; Financiering'!E52+1))),0))</f>
        <v>0</v>
      </c>
      <c r="L4" s="75"/>
      <c r="M4" s="75"/>
      <c r="N4" s="75"/>
      <c r="O4" s="76"/>
    </row>
    <row r="5" spans="1:18" x14ac:dyDescent="0.25">
      <c r="A5" s="4"/>
      <c r="B5" s="261" t="s">
        <v>101</v>
      </c>
      <c r="C5" s="358">
        <f>IF(C4&lt;1000,0,IF(C4&lt;=5000,375,IF(C4&lt;=15000,500,IF(C4&lt;=35000,650,IF(C4&lt;=50000,850,C4*0.015)))))</f>
        <v>0</v>
      </c>
      <c r="D5" s="77"/>
      <c r="E5" s="442" t="s">
        <v>94</v>
      </c>
      <c r="F5" s="443"/>
      <c r="G5" s="443"/>
      <c r="H5" s="366">
        <f ca="1">SUM(C19:N19)+SUM(C28:N28)+SUM(C37:N37)+SUM(C46:N46)+SUM(C55:N55)+SUM(C64:N64)+SUM(C73:N73)+SUM(C82:N82)</f>
        <v>0</v>
      </c>
      <c r="L5" s="78"/>
      <c r="M5" s="78"/>
      <c r="N5" s="78"/>
      <c r="O5" s="79"/>
    </row>
    <row r="6" spans="1:18" x14ac:dyDescent="0.25">
      <c r="B6" s="261" t="s">
        <v>103</v>
      </c>
      <c r="C6" s="359">
        <f>'Investering &amp; Financiering'!$E$50</f>
        <v>5</v>
      </c>
      <c r="D6" s="77"/>
      <c r="E6" s="442" t="s">
        <v>96</v>
      </c>
      <c r="F6" s="443"/>
      <c r="G6" s="443"/>
      <c r="H6" s="366">
        <f ca="1">SUM(C18:N18)+SUM(C27:N27)+SUM(C36:N36)+SUM(C45:N45)+SUM(C54:N54)+SUM(C63:N63)+SUM(C72:N72)+SUM(C81:N81)</f>
        <v>0</v>
      </c>
      <c r="L6" s="78"/>
      <c r="M6" s="78"/>
      <c r="N6" s="78"/>
      <c r="O6" s="79"/>
    </row>
    <row r="7" spans="1:18" x14ac:dyDescent="0.25">
      <c r="B7" s="261" t="s">
        <v>91</v>
      </c>
      <c r="C7" s="360">
        <f>C6*12</f>
        <v>60</v>
      </c>
      <c r="D7" s="77"/>
      <c r="E7" s="440" t="s">
        <v>93</v>
      </c>
      <c r="F7" s="441"/>
      <c r="G7" s="441"/>
      <c r="H7" s="367">
        <f ca="1">SUM(C21:N21)+SUM(C30:N30)+SUM(C39:N39)+SUM(C48:N48)+SUM(C57:N57)+SUM(C66:N66)+SUM(C75:N75)+SUM(C84:N84)</f>
        <v>0</v>
      </c>
      <c r="L7" s="78"/>
      <c r="M7" s="354"/>
      <c r="N7" s="354"/>
      <c r="O7" s="355"/>
    </row>
    <row r="8" spans="1:18" x14ac:dyDescent="0.25">
      <c r="B8" s="261" t="s">
        <v>95</v>
      </c>
      <c r="C8" s="361">
        <f>'Investering &amp; Financiering'!$E$56</f>
        <v>9.7500000000000003E-2</v>
      </c>
      <c r="D8" s="77"/>
      <c r="E8" s="440" t="s">
        <v>92</v>
      </c>
      <c r="F8" s="441"/>
      <c r="G8" s="441"/>
      <c r="H8" s="367">
        <f ca="1">(SUM(C21:N21)+SUM(C30:N30)+SUM(C39:N39)+SUM(C48:N48)+SUM(C57:N57)+SUM(C66:N66)+SUM(C75:N75)+SUM(C84:N84))/C7</f>
        <v>0</v>
      </c>
      <c r="L8" s="78"/>
      <c r="M8" s="354"/>
      <c r="N8" s="354"/>
      <c r="O8" s="355"/>
    </row>
    <row r="9" spans="1:18" x14ac:dyDescent="0.25">
      <c r="B9" s="261" t="s">
        <v>100</v>
      </c>
      <c r="C9" s="362">
        <f ca="1">C4/(C7-((YEAR(C12)-YEAR(C11))*12+MONTH(C12)-MONTH(C11)))</f>
        <v>0</v>
      </c>
      <c r="D9" s="77"/>
      <c r="K9" s="77"/>
      <c r="L9" s="78"/>
      <c r="M9" s="354"/>
      <c r="N9" s="354"/>
      <c r="O9" s="355"/>
    </row>
    <row r="10" spans="1:18" x14ac:dyDescent="0.25">
      <c r="B10" s="261" t="s">
        <v>455</v>
      </c>
      <c r="C10" s="359" t="str">
        <f>'Investering &amp; Financiering'!$E$53</f>
        <v>Annuïteit</v>
      </c>
      <c r="D10" s="77"/>
      <c r="K10" s="77"/>
      <c r="L10" s="78"/>
      <c r="M10" s="354"/>
      <c r="N10" s="354"/>
      <c r="O10" s="355"/>
    </row>
    <row r="11" spans="1:18" x14ac:dyDescent="0.25">
      <c r="B11" s="261" t="s">
        <v>194</v>
      </c>
      <c r="C11" s="363">
        <f ca="1">'Investering &amp; Financiering'!$E$51</f>
        <v>45166</v>
      </c>
      <c r="D11" s="77"/>
      <c r="E11" s="440" t="s">
        <v>95</v>
      </c>
      <c r="F11" s="441"/>
      <c r="G11" s="441"/>
      <c r="H11" s="361">
        <f ca="1">IFERROR(XIRR(Cashflow_met_kosten,Datums,0.001),0)</f>
        <v>0</v>
      </c>
      <c r="I11" s="77"/>
      <c r="J11" s="77"/>
      <c r="K11" s="77"/>
      <c r="L11" s="78"/>
      <c r="M11" s="354"/>
      <c r="N11" s="354"/>
      <c r="O11" s="355"/>
    </row>
    <row r="12" spans="1:18" x14ac:dyDescent="0.25">
      <c r="B12" s="261" t="s">
        <v>97</v>
      </c>
      <c r="C12" s="364">
        <f ca="1">EOMONTH(C11,'Investering &amp; Financiering'!$E$52-1)</f>
        <v>45230</v>
      </c>
      <c r="D12" s="77"/>
      <c r="E12" s="440" t="s">
        <v>95</v>
      </c>
      <c r="F12" s="441"/>
      <c r="G12" s="441"/>
      <c r="H12" s="361">
        <f ca="1">MIN(((1+H11)^(1/365)-1)*365,1)</f>
        <v>0</v>
      </c>
      <c r="L12" s="78"/>
      <c r="M12" s="354"/>
      <c r="N12" s="354"/>
      <c r="O12" s="355"/>
    </row>
    <row r="13" spans="1:18" x14ac:dyDescent="0.25">
      <c r="D13" s="77"/>
      <c r="E13" s="77"/>
      <c r="F13" s="77"/>
      <c r="G13" s="77"/>
      <c r="H13" s="77"/>
      <c r="I13" s="77"/>
      <c r="J13" s="77"/>
      <c r="K13" s="77"/>
      <c r="L13" s="78"/>
      <c r="M13" s="78"/>
      <c r="N13" s="78"/>
      <c r="O13" s="79"/>
      <c r="R13" s="108"/>
    </row>
    <row r="14" spans="1:18" x14ac:dyDescent="0.25">
      <c r="B14" s="351">
        <f>Intro!B4</f>
        <v>2023</v>
      </c>
      <c r="C14" s="247" t="s">
        <v>181</v>
      </c>
      <c r="D14" s="247" t="s">
        <v>182</v>
      </c>
      <c r="E14" s="247" t="s">
        <v>183</v>
      </c>
      <c r="F14" s="247" t="s">
        <v>184</v>
      </c>
      <c r="G14" s="247" t="s">
        <v>185</v>
      </c>
      <c r="H14" s="247" t="s">
        <v>186</v>
      </c>
      <c r="I14" s="247" t="s">
        <v>187</v>
      </c>
      <c r="J14" s="247" t="s">
        <v>188</v>
      </c>
      <c r="K14" s="247" t="s">
        <v>189</v>
      </c>
      <c r="L14" s="247" t="s">
        <v>190</v>
      </c>
      <c r="M14" s="247" t="s">
        <v>191</v>
      </c>
      <c r="N14" s="247" t="s">
        <v>192</v>
      </c>
      <c r="O14" s="303" t="s">
        <v>408</v>
      </c>
    </row>
    <row r="15" spans="1:18" x14ac:dyDescent="0.25">
      <c r="B15" s="259"/>
      <c r="C15" s="301">
        <v>1</v>
      </c>
      <c r="D15" s="301">
        <v>2</v>
      </c>
      <c r="E15" s="301">
        <v>3</v>
      </c>
      <c r="F15" s="301">
        <v>4</v>
      </c>
      <c r="G15" s="301">
        <v>5</v>
      </c>
      <c r="H15" s="301">
        <v>6</v>
      </c>
      <c r="I15" s="301">
        <v>7</v>
      </c>
      <c r="J15" s="301">
        <v>8</v>
      </c>
      <c r="K15" s="301">
        <v>9</v>
      </c>
      <c r="L15" s="301">
        <v>10</v>
      </c>
      <c r="M15" s="301">
        <v>11</v>
      </c>
      <c r="N15" s="301">
        <v>12</v>
      </c>
      <c r="O15" s="302"/>
    </row>
    <row r="16" spans="1:18" x14ac:dyDescent="0.25">
      <c r="B16" s="259" t="s">
        <v>98</v>
      </c>
      <c r="C16" s="368">
        <f ca="1">IF(AND(YEAR($C$11)=$B14,MONTH($C$11)=C15),$C$4,0)</f>
        <v>0</v>
      </c>
      <c r="D16" s="368">
        <f t="shared" ref="D16:I16" ca="1" si="0">IF(AND(YEAR($C$11)=$B14,MONTH($C$11)=D15),$C$4,C16-C19)</f>
        <v>0</v>
      </c>
      <c r="E16" s="368">
        <f t="shared" ca="1" si="0"/>
        <v>0</v>
      </c>
      <c r="F16" s="368">
        <f t="shared" ca="1" si="0"/>
        <v>0</v>
      </c>
      <c r="G16" s="368">
        <f t="shared" ca="1" si="0"/>
        <v>0</v>
      </c>
      <c r="H16" s="368">
        <f t="shared" ca="1" si="0"/>
        <v>0</v>
      </c>
      <c r="I16" s="368">
        <f t="shared" ca="1" si="0"/>
        <v>0</v>
      </c>
      <c r="J16" s="368">
        <f t="shared" ref="J16:N16" ca="1" si="1">IF(AND(YEAR($C$11)=$B14,MONTH($C$11)=J15),$C$4,I16-I19)</f>
        <v>0</v>
      </c>
      <c r="K16" s="368">
        <f t="shared" ca="1" si="1"/>
        <v>0</v>
      </c>
      <c r="L16" s="368">
        <f t="shared" ca="1" si="1"/>
        <v>0</v>
      </c>
      <c r="M16" s="368">
        <f t="shared" ca="1" si="1"/>
        <v>0</v>
      </c>
      <c r="N16" s="368">
        <f t="shared" ca="1" si="1"/>
        <v>0</v>
      </c>
      <c r="O16" s="369"/>
    </row>
    <row r="17" spans="2:15" x14ac:dyDescent="0.25">
      <c r="B17" s="259"/>
      <c r="C17" s="370">
        <f ca="1">C15-(YEAR($C$11)-$B$14)*12-MONTH($C$11)+1</f>
        <v>-6</v>
      </c>
      <c r="D17" s="370">
        <f t="shared" ref="D17:M17" ca="1" si="2">D15-(YEAR($C$11)-$B$14)*12-MONTH($C$11)+1</f>
        <v>-5</v>
      </c>
      <c r="E17" s="370">
        <f t="shared" ca="1" si="2"/>
        <v>-4</v>
      </c>
      <c r="F17" s="370">
        <f t="shared" ca="1" si="2"/>
        <v>-3</v>
      </c>
      <c r="G17" s="370">
        <f t="shared" ca="1" si="2"/>
        <v>-2</v>
      </c>
      <c r="H17" s="370">
        <f t="shared" ca="1" si="2"/>
        <v>-1</v>
      </c>
      <c r="I17" s="370">
        <f t="shared" ca="1" si="2"/>
        <v>0</v>
      </c>
      <c r="J17" s="370">
        <f t="shared" ca="1" si="2"/>
        <v>1</v>
      </c>
      <c r="K17" s="370">
        <f t="shared" ca="1" si="2"/>
        <v>2</v>
      </c>
      <c r="L17" s="370">
        <f t="shared" ca="1" si="2"/>
        <v>3</v>
      </c>
      <c r="M17" s="370">
        <f t="shared" ca="1" si="2"/>
        <v>4</v>
      </c>
      <c r="N17" s="370">
        <f ca="1">N15-(YEAR($C$11)-$B$14)*12-MONTH($C$11)+1</f>
        <v>5</v>
      </c>
      <c r="O17" s="371"/>
    </row>
    <row r="18" spans="2:15" x14ac:dyDescent="0.25">
      <c r="B18" s="259" t="s">
        <v>99</v>
      </c>
      <c r="C18" s="368">
        <f ca="1">IF(C16&lt;0.001,0,($C$8/12)*C16)</f>
        <v>0</v>
      </c>
      <c r="D18" s="368">
        <f t="shared" ref="D18:N18" ca="1" si="3">IF(D16&lt;0.001,0,($C$8/12)*D16)</f>
        <v>0</v>
      </c>
      <c r="E18" s="368">
        <f t="shared" ca="1" si="3"/>
        <v>0</v>
      </c>
      <c r="F18" s="368">
        <f t="shared" ca="1" si="3"/>
        <v>0</v>
      </c>
      <c r="G18" s="368">
        <f t="shared" ca="1" si="3"/>
        <v>0</v>
      </c>
      <c r="H18" s="368">
        <f t="shared" ca="1" si="3"/>
        <v>0</v>
      </c>
      <c r="I18" s="368">
        <f t="shared" ca="1" si="3"/>
        <v>0</v>
      </c>
      <c r="J18" s="368">
        <f t="shared" ca="1" si="3"/>
        <v>0</v>
      </c>
      <c r="K18" s="368">
        <f t="shared" ca="1" si="3"/>
        <v>0</v>
      </c>
      <c r="L18" s="368">
        <f t="shared" ca="1" si="3"/>
        <v>0</v>
      </c>
      <c r="M18" s="368">
        <f t="shared" ca="1" si="3"/>
        <v>0</v>
      </c>
      <c r="N18" s="368">
        <f t="shared" ca="1" si="3"/>
        <v>0</v>
      </c>
      <c r="O18" s="369">
        <f ca="1">SUM(C18:N18)</f>
        <v>0</v>
      </c>
    </row>
    <row r="19" spans="2:15" x14ac:dyDescent="0.25">
      <c r="B19" s="259" t="s">
        <v>100</v>
      </c>
      <c r="C19" s="368">
        <f ca="1">IF(OR(C16&lt;0.001,YEAR($C$12)&gt;$B14,AND(YEAR($C$12)=$B14,MONTH($C$12)&gt;C15)),0,IF($C$10="Lineair",$C$9,IF($C$10="Annuïteit",IFERROR((C18/(1-(1+$C$8/12)^-($C$7-B15)))-C18,0),0)))</f>
        <v>0</v>
      </c>
      <c r="D19" s="368">
        <f t="shared" ref="D19:I19" ca="1" si="4">IF(OR(D16&lt;0.001,YEAR($C$12)&gt;$B14,AND(YEAR($C$12)=$B14,MONTH($C$12)&gt;D15)),0,IF($C$10="Lineair",$C$9,IF($C$10="Annuïteit",IFERROR((D18/(1-(1+$C$8/12)^-($C$7-C17)))-D18,0),0)))</f>
        <v>0</v>
      </c>
      <c r="E19" s="368">
        <f t="shared" ca="1" si="4"/>
        <v>0</v>
      </c>
      <c r="F19" s="368">
        <f t="shared" ca="1" si="4"/>
        <v>0</v>
      </c>
      <c r="G19" s="368">
        <f t="shared" ca="1" si="4"/>
        <v>0</v>
      </c>
      <c r="H19" s="368">
        <f t="shared" ca="1" si="4"/>
        <v>0</v>
      </c>
      <c r="I19" s="368">
        <f t="shared" ca="1" si="4"/>
        <v>0</v>
      </c>
      <c r="J19" s="368">
        <f t="shared" ref="J19:M19" ca="1" si="5">IF(OR(J16&lt;0.001,YEAR($C$12)&gt;$B14,AND(YEAR($C$12)=$B14,MONTH($C$12)&gt;J15)),0,IF($C$10="Lineair",$C$9,IF($C$10="Annuïteit",IFERROR((J18/(1-(1+$C$8/12)^-($C$7-I17)))-J18,0),0)))</f>
        <v>0</v>
      </c>
      <c r="K19" s="368">
        <f t="shared" ca="1" si="5"/>
        <v>0</v>
      </c>
      <c r="L19" s="368">
        <f t="shared" ca="1" si="5"/>
        <v>0</v>
      </c>
      <c r="M19" s="368">
        <f t="shared" ca="1" si="5"/>
        <v>0</v>
      </c>
      <c r="N19" s="368">
        <f ca="1">IF(OR(N16&lt;0.001,YEAR($C$12)&gt;$B14,AND(YEAR($C$12)=$B14,MONTH($C$12)&gt;N15)),0,IF($C$10="Lineair",$C$9,IF($C$10="Annuïteit",IFERROR((N18/(1-(1+$C$8/12)^-($C$7-M17)))-N18,0),0)))</f>
        <v>0</v>
      </c>
      <c r="O19" s="369">
        <f ca="1">SUM(C19:N19)</f>
        <v>0</v>
      </c>
    </row>
    <row r="20" spans="2:15" x14ac:dyDescent="0.25">
      <c r="B20" s="256" t="s">
        <v>101</v>
      </c>
      <c r="C20" s="372">
        <f ca="1">IF(AND(YEAR($C$11)=$B14,MONTH($C$11)=C15),$C$5,0)</f>
        <v>0</v>
      </c>
      <c r="D20" s="372">
        <f t="shared" ref="D20:N20" ca="1" si="6">IF(AND(YEAR($C$11)=$B14,MONTH($C$11)=D15),$C$5,0)</f>
        <v>0</v>
      </c>
      <c r="E20" s="372">
        <f t="shared" ca="1" si="6"/>
        <v>0</v>
      </c>
      <c r="F20" s="372">
        <f t="shared" ca="1" si="6"/>
        <v>0</v>
      </c>
      <c r="G20" s="372">
        <f t="shared" ca="1" si="6"/>
        <v>0</v>
      </c>
      <c r="H20" s="372">
        <f t="shared" ca="1" si="6"/>
        <v>0</v>
      </c>
      <c r="I20" s="372">
        <f t="shared" ca="1" si="6"/>
        <v>0</v>
      </c>
      <c r="J20" s="372">
        <f t="shared" ca="1" si="6"/>
        <v>0</v>
      </c>
      <c r="K20" s="372">
        <f t="shared" ca="1" si="6"/>
        <v>0</v>
      </c>
      <c r="L20" s="372">
        <f t="shared" ca="1" si="6"/>
        <v>0</v>
      </c>
      <c r="M20" s="372">
        <f t="shared" ca="1" si="6"/>
        <v>0</v>
      </c>
      <c r="N20" s="372">
        <f t="shared" ca="1" si="6"/>
        <v>0</v>
      </c>
      <c r="O20" s="369">
        <f ca="1">SUM(C20:N20)</f>
        <v>0</v>
      </c>
    </row>
    <row r="21" spans="2:15" x14ac:dyDescent="0.25">
      <c r="B21" s="373" t="s">
        <v>102</v>
      </c>
      <c r="C21" s="374">
        <f ca="1">SUM(C18:C20)</f>
        <v>0</v>
      </c>
      <c r="D21" s="374">
        <f t="shared" ref="D21:N21" ca="1" si="7">SUM(D18:D20)</f>
        <v>0</v>
      </c>
      <c r="E21" s="374">
        <f t="shared" ca="1" si="7"/>
        <v>0</v>
      </c>
      <c r="F21" s="374">
        <f t="shared" ca="1" si="7"/>
        <v>0</v>
      </c>
      <c r="G21" s="374">
        <f t="shared" ca="1" si="7"/>
        <v>0</v>
      </c>
      <c r="H21" s="374">
        <f t="shared" ca="1" si="7"/>
        <v>0</v>
      </c>
      <c r="I21" s="374">
        <f t="shared" ca="1" si="7"/>
        <v>0</v>
      </c>
      <c r="J21" s="374">
        <f t="shared" ca="1" si="7"/>
        <v>0</v>
      </c>
      <c r="K21" s="374">
        <f t="shared" ca="1" si="7"/>
        <v>0</v>
      </c>
      <c r="L21" s="374">
        <f t="shared" ca="1" si="7"/>
        <v>0</v>
      </c>
      <c r="M21" s="374">
        <f t="shared" ca="1" si="7"/>
        <v>0</v>
      </c>
      <c r="N21" s="374">
        <f t="shared" ca="1" si="7"/>
        <v>0</v>
      </c>
      <c r="O21" s="369">
        <f ca="1">SUM(C21:N21)</f>
        <v>0</v>
      </c>
    </row>
    <row r="22" spans="2:15" x14ac:dyDescent="0.25">
      <c r="B22" s="75"/>
      <c r="C22" s="75"/>
      <c r="D22" s="75"/>
      <c r="E22" s="75"/>
      <c r="F22" s="75"/>
      <c r="G22" s="75"/>
      <c r="H22" s="75"/>
      <c r="I22" s="75"/>
      <c r="J22" s="75"/>
      <c r="K22" s="75"/>
      <c r="L22" s="75"/>
      <c r="M22" s="75"/>
      <c r="N22" s="75"/>
      <c r="O22" s="76"/>
    </row>
    <row r="23" spans="2:15" x14ac:dyDescent="0.25">
      <c r="B23" s="351">
        <f>B14+1</f>
        <v>2024</v>
      </c>
      <c r="C23" s="247" t="s">
        <v>181</v>
      </c>
      <c r="D23" s="247" t="s">
        <v>182</v>
      </c>
      <c r="E23" s="247" t="s">
        <v>183</v>
      </c>
      <c r="F23" s="247" t="s">
        <v>184</v>
      </c>
      <c r="G23" s="247" t="s">
        <v>185</v>
      </c>
      <c r="H23" s="247" t="s">
        <v>186</v>
      </c>
      <c r="I23" s="247" t="s">
        <v>187</v>
      </c>
      <c r="J23" s="247" t="s">
        <v>188</v>
      </c>
      <c r="K23" s="247" t="s">
        <v>189</v>
      </c>
      <c r="L23" s="247" t="s">
        <v>190</v>
      </c>
      <c r="M23" s="247" t="s">
        <v>191</v>
      </c>
      <c r="N23" s="247" t="s">
        <v>192</v>
      </c>
      <c r="O23" s="375" t="s">
        <v>408</v>
      </c>
    </row>
    <row r="24" spans="2:15" x14ac:dyDescent="0.25">
      <c r="B24" s="259"/>
      <c r="C24" s="301">
        <v>1</v>
      </c>
      <c r="D24" s="301">
        <v>2</v>
      </c>
      <c r="E24" s="301">
        <v>3</v>
      </c>
      <c r="F24" s="301">
        <v>4</v>
      </c>
      <c r="G24" s="301">
        <v>5</v>
      </c>
      <c r="H24" s="301">
        <v>6</v>
      </c>
      <c r="I24" s="301">
        <v>7</v>
      </c>
      <c r="J24" s="301">
        <v>8</v>
      </c>
      <c r="K24" s="301">
        <v>9</v>
      </c>
      <c r="L24" s="301">
        <v>10</v>
      </c>
      <c r="M24" s="301">
        <v>11</v>
      </c>
      <c r="N24" s="301">
        <v>12</v>
      </c>
      <c r="O24" s="302"/>
    </row>
    <row r="25" spans="2:15" x14ac:dyDescent="0.25">
      <c r="B25" s="259" t="s">
        <v>98</v>
      </c>
      <c r="C25" s="368">
        <f ca="1">IF(AND(YEAR($C$11)=$B23,MONTH($C$11)=C24),$C$4,N16-N19)</f>
        <v>0</v>
      </c>
      <c r="D25" s="368">
        <f t="shared" ref="D25:I25" ca="1" si="8">IF(AND(YEAR($C$11)=$B23,MONTH($C$11)=D24),$C$4,C25-C28)</f>
        <v>0</v>
      </c>
      <c r="E25" s="368">
        <f t="shared" ca="1" si="8"/>
        <v>0</v>
      </c>
      <c r="F25" s="368">
        <f t="shared" ca="1" si="8"/>
        <v>0</v>
      </c>
      <c r="G25" s="368">
        <f t="shared" ca="1" si="8"/>
        <v>0</v>
      </c>
      <c r="H25" s="368">
        <f t="shared" ca="1" si="8"/>
        <v>0</v>
      </c>
      <c r="I25" s="368">
        <f t="shared" ca="1" si="8"/>
        <v>0</v>
      </c>
      <c r="J25" s="368">
        <f t="shared" ref="J25" ca="1" si="9">IF(AND(YEAR($C$11)=$B23,MONTH($C$11)=J24),$C$4,I25-I28)</f>
        <v>0</v>
      </c>
      <c r="K25" s="368">
        <f t="shared" ref="K25" ca="1" si="10">IF(AND(YEAR($C$11)=$B23,MONTH($C$11)=K24),$C$4,J25-J28)</f>
        <v>0</v>
      </c>
      <c r="L25" s="368">
        <f t="shared" ref="L25" ca="1" si="11">IF(AND(YEAR($C$11)=$B23,MONTH($C$11)=L24),$C$4,K25-K28)</f>
        <v>0</v>
      </c>
      <c r="M25" s="368">
        <f t="shared" ref="M25" ca="1" si="12">IF(AND(YEAR($C$11)=$B23,MONTH($C$11)=M24),$C$4,L25-L28)</f>
        <v>0</v>
      </c>
      <c r="N25" s="368">
        <f t="shared" ref="N25" ca="1" si="13">IF(AND(YEAR($C$11)=$B23,MONTH($C$11)=N24),$C$4,M25-M28)</f>
        <v>0</v>
      </c>
      <c r="O25" s="369"/>
    </row>
    <row r="26" spans="2:15" x14ac:dyDescent="0.25">
      <c r="B26" s="259"/>
      <c r="C26" s="370">
        <f ca="1">C17+12</f>
        <v>6</v>
      </c>
      <c r="D26" s="370">
        <f t="shared" ref="D26:M26" ca="1" si="14">D17+12</f>
        <v>7</v>
      </c>
      <c r="E26" s="370">
        <f t="shared" ca="1" si="14"/>
        <v>8</v>
      </c>
      <c r="F26" s="370">
        <f t="shared" ca="1" si="14"/>
        <v>9</v>
      </c>
      <c r="G26" s="370">
        <f t="shared" ca="1" si="14"/>
        <v>10</v>
      </c>
      <c r="H26" s="370">
        <f t="shared" ca="1" si="14"/>
        <v>11</v>
      </c>
      <c r="I26" s="370">
        <f t="shared" ca="1" si="14"/>
        <v>12</v>
      </c>
      <c r="J26" s="370">
        <f t="shared" ca="1" si="14"/>
        <v>13</v>
      </c>
      <c r="K26" s="370">
        <f t="shared" ca="1" si="14"/>
        <v>14</v>
      </c>
      <c r="L26" s="370">
        <f t="shared" ca="1" si="14"/>
        <v>15</v>
      </c>
      <c r="M26" s="370">
        <f t="shared" ca="1" si="14"/>
        <v>16</v>
      </c>
      <c r="N26" s="370">
        <f ca="1">N17+12</f>
        <v>17</v>
      </c>
      <c r="O26" s="371"/>
    </row>
    <row r="27" spans="2:15" x14ac:dyDescent="0.25">
      <c r="B27" s="259" t="s">
        <v>99</v>
      </c>
      <c r="C27" s="368">
        <f ca="1">IF(C25&lt;0.001,0,($C$8/12)*C25)</f>
        <v>0</v>
      </c>
      <c r="D27" s="368">
        <f t="shared" ref="D27:N27" ca="1" si="15">IF(D25&lt;0.001,0,($C$8/12)*D25)</f>
        <v>0</v>
      </c>
      <c r="E27" s="368">
        <f t="shared" ca="1" si="15"/>
        <v>0</v>
      </c>
      <c r="F27" s="368">
        <f t="shared" ca="1" si="15"/>
        <v>0</v>
      </c>
      <c r="G27" s="368">
        <f t="shared" ca="1" si="15"/>
        <v>0</v>
      </c>
      <c r="H27" s="368">
        <f t="shared" ca="1" si="15"/>
        <v>0</v>
      </c>
      <c r="I27" s="368">
        <f t="shared" ca="1" si="15"/>
        <v>0</v>
      </c>
      <c r="J27" s="368">
        <f t="shared" ca="1" si="15"/>
        <v>0</v>
      </c>
      <c r="K27" s="368">
        <f t="shared" ca="1" si="15"/>
        <v>0</v>
      </c>
      <c r="L27" s="368">
        <f t="shared" ca="1" si="15"/>
        <v>0</v>
      </c>
      <c r="M27" s="368">
        <f t="shared" ca="1" si="15"/>
        <v>0</v>
      </c>
      <c r="N27" s="368">
        <f t="shared" ca="1" si="15"/>
        <v>0</v>
      </c>
      <c r="O27" s="369">
        <f ca="1">SUM(C27:N27)</f>
        <v>0</v>
      </c>
    </row>
    <row r="28" spans="2:15" x14ac:dyDescent="0.25">
      <c r="B28" s="259" t="s">
        <v>100</v>
      </c>
      <c r="C28" s="368">
        <f ca="1">IF(OR(C25&lt;0.001,YEAR($C$12)&gt;$B23,AND(YEAR($C$12)=$B23,MONTH($C$12)&gt;C24)),0,IF($C$10="Lineair",$C$9,IF($C$10="Annuïteit",IFERROR((C27/(1-(1+$C$8/12)^-($C$7-N17)))-C27,0),0)))</f>
        <v>0</v>
      </c>
      <c r="D28" s="368">
        <f t="shared" ref="D28:I28" ca="1" si="16">IF(OR(D25&lt;0.001,YEAR($C$12)&gt;$B23,AND(YEAR($C$12)=$B23,MONTH($C$12)&gt;D24)),0,IF($C$10="Lineair",$C$9,IF($C$10="Annuïteit",IFERROR((D27/(1-(1+$C$8/12)^-($C$7-C26)))-D27,0),0)))</f>
        <v>0</v>
      </c>
      <c r="E28" s="368">
        <f t="shared" ca="1" si="16"/>
        <v>0</v>
      </c>
      <c r="F28" s="368">
        <f t="shared" ca="1" si="16"/>
        <v>0</v>
      </c>
      <c r="G28" s="368">
        <f t="shared" ca="1" si="16"/>
        <v>0</v>
      </c>
      <c r="H28" s="368">
        <f t="shared" ca="1" si="16"/>
        <v>0</v>
      </c>
      <c r="I28" s="368">
        <f t="shared" ca="1" si="16"/>
        <v>0</v>
      </c>
      <c r="J28" s="368">
        <f t="shared" ref="J28:M28" ca="1" si="17">IF(OR(J25&lt;0.001,YEAR($C$12)&gt;$B23,AND(YEAR($C$12)=$B23,MONTH($C$12)&gt;J24)),0,IF($C$10="Lineair",$C$9,IF($C$10="Annuïteit",IFERROR((J27/(1-(1+$C$8/12)^-($C$7-I26)))-J27,0),0)))</f>
        <v>0</v>
      </c>
      <c r="K28" s="368">
        <f t="shared" ca="1" si="17"/>
        <v>0</v>
      </c>
      <c r="L28" s="368">
        <f t="shared" ca="1" si="17"/>
        <v>0</v>
      </c>
      <c r="M28" s="368">
        <f t="shared" ca="1" si="17"/>
        <v>0</v>
      </c>
      <c r="N28" s="368">
        <f ca="1">IF(OR(N25&lt;0.001,YEAR($C$12)&gt;$B23,AND(YEAR($C$12)=$B23,MONTH($C$12)&gt;N24)),0,IF($C$10="Lineair",$C$9,IF($C$10="Annuïteit",IFERROR((N27/(1-(1+$C$8/12)^-($C$7-M26)))-N27,0),0)))</f>
        <v>0</v>
      </c>
      <c r="O28" s="369">
        <f ca="1">SUM(C28:N28)</f>
        <v>0</v>
      </c>
    </row>
    <row r="29" spans="2:15" x14ac:dyDescent="0.25">
      <c r="B29" s="256" t="s">
        <v>101</v>
      </c>
      <c r="C29" s="372">
        <f t="shared" ref="C29:N29" ca="1" si="18">IF(AND(YEAR($C$11)=$B23,MONTH($C$11)=C24),$C$5,0)</f>
        <v>0</v>
      </c>
      <c r="D29" s="372">
        <f t="shared" ca="1" si="18"/>
        <v>0</v>
      </c>
      <c r="E29" s="372">
        <f t="shared" ca="1" si="18"/>
        <v>0</v>
      </c>
      <c r="F29" s="372">
        <f t="shared" ca="1" si="18"/>
        <v>0</v>
      </c>
      <c r="G29" s="372">
        <f t="shared" ca="1" si="18"/>
        <v>0</v>
      </c>
      <c r="H29" s="372">
        <f t="shared" ca="1" si="18"/>
        <v>0</v>
      </c>
      <c r="I29" s="372">
        <f t="shared" ca="1" si="18"/>
        <v>0</v>
      </c>
      <c r="J29" s="372">
        <f t="shared" ca="1" si="18"/>
        <v>0</v>
      </c>
      <c r="K29" s="372">
        <f t="shared" ca="1" si="18"/>
        <v>0</v>
      </c>
      <c r="L29" s="372">
        <f t="shared" ca="1" si="18"/>
        <v>0</v>
      </c>
      <c r="M29" s="372">
        <f t="shared" ca="1" si="18"/>
        <v>0</v>
      </c>
      <c r="N29" s="372">
        <f t="shared" ca="1" si="18"/>
        <v>0</v>
      </c>
      <c r="O29" s="369">
        <f ca="1">SUM(C29:N29)</f>
        <v>0</v>
      </c>
    </row>
    <row r="30" spans="2:15" x14ac:dyDescent="0.25">
      <c r="B30" s="373" t="s">
        <v>102</v>
      </c>
      <c r="C30" s="374">
        <f ca="1">SUM(C27:C29)</f>
        <v>0</v>
      </c>
      <c r="D30" s="374">
        <f t="shared" ref="D30:N30" ca="1" si="19">SUM(D27:D29)</f>
        <v>0</v>
      </c>
      <c r="E30" s="374">
        <f t="shared" ca="1" si="19"/>
        <v>0</v>
      </c>
      <c r="F30" s="374">
        <f t="shared" ca="1" si="19"/>
        <v>0</v>
      </c>
      <c r="G30" s="374">
        <f t="shared" ca="1" si="19"/>
        <v>0</v>
      </c>
      <c r="H30" s="374">
        <f t="shared" ca="1" si="19"/>
        <v>0</v>
      </c>
      <c r="I30" s="374">
        <f t="shared" ca="1" si="19"/>
        <v>0</v>
      </c>
      <c r="J30" s="374">
        <f t="shared" ca="1" si="19"/>
        <v>0</v>
      </c>
      <c r="K30" s="374">
        <f t="shared" ca="1" si="19"/>
        <v>0</v>
      </c>
      <c r="L30" s="374">
        <f t="shared" ca="1" si="19"/>
        <v>0</v>
      </c>
      <c r="M30" s="374">
        <f t="shared" ca="1" si="19"/>
        <v>0</v>
      </c>
      <c r="N30" s="374">
        <f t="shared" ca="1" si="19"/>
        <v>0</v>
      </c>
      <c r="O30" s="376">
        <f ca="1">SUM(C30:N30)</f>
        <v>0</v>
      </c>
    </row>
    <row r="31" spans="2:15" x14ac:dyDescent="0.25">
      <c r="B31" s="75"/>
      <c r="C31" s="75"/>
      <c r="D31" s="75"/>
      <c r="E31" s="75"/>
      <c r="F31" s="75"/>
      <c r="G31" s="75"/>
      <c r="H31" s="75"/>
      <c r="I31" s="75"/>
      <c r="J31" s="75"/>
      <c r="K31" s="75"/>
      <c r="L31" s="75"/>
      <c r="M31" s="75"/>
      <c r="N31" s="75"/>
      <c r="O31" s="377"/>
    </row>
    <row r="32" spans="2:15" x14ac:dyDescent="0.25">
      <c r="B32" s="351">
        <f>B23+1</f>
        <v>2025</v>
      </c>
      <c r="C32" s="247" t="s">
        <v>181</v>
      </c>
      <c r="D32" s="247" t="s">
        <v>182</v>
      </c>
      <c r="E32" s="247" t="s">
        <v>183</v>
      </c>
      <c r="F32" s="247" t="s">
        <v>184</v>
      </c>
      <c r="G32" s="247" t="s">
        <v>185</v>
      </c>
      <c r="H32" s="247" t="s">
        <v>186</v>
      </c>
      <c r="I32" s="247" t="s">
        <v>187</v>
      </c>
      <c r="J32" s="247" t="s">
        <v>188</v>
      </c>
      <c r="K32" s="247" t="s">
        <v>189</v>
      </c>
      <c r="L32" s="247" t="s">
        <v>190</v>
      </c>
      <c r="M32" s="247" t="s">
        <v>191</v>
      </c>
      <c r="N32" s="247" t="s">
        <v>192</v>
      </c>
      <c r="O32" s="303" t="s">
        <v>408</v>
      </c>
    </row>
    <row r="33" spans="2:15" x14ac:dyDescent="0.25">
      <c r="B33" s="259"/>
      <c r="C33" s="301">
        <v>1</v>
      </c>
      <c r="D33" s="301">
        <v>2</v>
      </c>
      <c r="E33" s="301">
        <v>3</v>
      </c>
      <c r="F33" s="301">
        <v>4</v>
      </c>
      <c r="G33" s="301">
        <v>5</v>
      </c>
      <c r="H33" s="301">
        <v>6</v>
      </c>
      <c r="I33" s="301">
        <v>7</v>
      </c>
      <c r="J33" s="301">
        <v>8</v>
      </c>
      <c r="K33" s="301">
        <v>9</v>
      </c>
      <c r="L33" s="301">
        <v>10</v>
      </c>
      <c r="M33" s="301">
        <v>11</v>
      </c>
      <c r="N33" s="301">
        <v>12</v>
      </c>
      <c r="O33" s="302"/>
    </row>
    <row r="34" spans="2:15" x14ac:dyDescent="0.25">
      <c r="B34" s="259" t="s">
        <v>98</v>
      </c>
      <c r="C34" s="368">
        <f ca="1">IF(AND(YEAR($C$11)=$B32,MONTH($C$11)=C33),$C$4,N25-N28)</f>
        <v>0</v>
      </c>
      <c r="D34" s="368">
        <f t="shared" ref="D34:I34" ca="1" si="20">IF(AND(YEAR($C$11)=$B32,MONTH($C$11)=D33),$C$4,C34-C37)</f>
        <v>0</v>
      </c>
      <c r="E34" s="368">
        <f t="shared" ca="1" si="20"/>
        <v>0</v>
      </c>
      <c r="F34" s="368">
        <f t="shared" ca="1" si="20"/>
        <v>0</v>
      </c>
      <c r="G34" s="368">
        <f t="shared" ca="1" si="20"/>
        <v>0</v>
      </c>
      <c r="H34" s="368">
        <f t="shared" ca="1" si="20"/>
        <v>0</v>
      </c>
      <c r="I34" s="368">
        <f t="shared" ca="1" si="20"/>
        <v>0</v>
      </c>
      <c r="J34" s="368">
        <f t="shared" ref="J34" ca="1" si="21">IF(AND(YEAR($C$11)=$B32,MONTH($C$11)=J33),$C$4,I34-I37)</f>
        <v>0</v>
      </c>
      <c r="K34" s="368">
        <f t="shared" ref="K34" ca="1" si="22">IF(AND(YEAR($C$11)=$B32,MONTH($C$11)=K33),$C$4,J34-J37)</f>
        <v>0</v>
      </c>
      <c r="L34" s="368">
        <f t="shared" ref="L34" ca="1" si="23">IF(AND(YEAR($C$11)=$B32,MONTH($C$11)=L33),$C$4,K34-K37)</f>
        <v>0</v>
      </c>
      <c r="M34" s="368">
        <f t="shared" ref="M34" ca="1" si="24">IF(AND(YEAR($C$11)=$B32,MONTH($C$11)=M33),$C$4,L34-L37)</f>
        <v>0</v>
      </c>
      <c r="N34" s="368">
        <f t="shared" ref="N34" ca="1" si="25">IF(AND(YEAR($C$11)=$B32,MONTH($C$11)=N33),$C$4,M34-M37)</f>
        <v>0</v>
      </c>
      <c r="O34" s="369"/>
    </row>
    <row r="35" spans="2:15" x14ac:dyDescent="0.25">
      <c r="B35" s="259"/>
      <c r="C35" s="370">
        <f ca="1">C26+12</f>
        <v>18</v>
      </c>
      <c r="D35" s="370">
        <f t="shared" ref="D35:N35" ca="1" si="26">D26+12</f>
        <v>19</v>
      </c>
      <c r="E35" s="370">
        <f t="shared" ca="1" si="26"/>
        <v>20</v>
      </c>
      <c r="F35" s="370">
        <f t="shared" ca="1" si="26"/>
        <v>21</v>
      </c>
      <c r="G35" s="370">
        <f t="shared" ca="1" si="26"/>
        <v>22</v>
      </c>
      <c r="H35" s="370">
        <f t="shared" ca="1" si="26"/>
        <v>23</v>
      </c>
      <c r="I35" s="370">
        <f t="shared" ca="1" si="26"/>
        <v>24</v>
      </c>
      <c r="J35" s="370">
        <f t="shared" ca="1" si="26"/>
        <v>25</v>
      </c>
      <c r="K35" s="370">
        <f t="shared" ca="1" si="26"/>
        <v>26</v>
      </c>
      <c r="L35" s="370">
        <f t="shared" ca="1" si="26"/>
        <v>27</v>
      </c>
      <c r="M35" s="370">
        <f t="shared" ca="1" si="26"/>
        <v>28</v>
      </c>
      <c r="N35" s="370">
        <f t="shared" ca="1" si="26"/>
        <v>29</v>
      </c>
      <c r="O35" s="371"/>
    </row>
    <row r="36" spans="2:15" x14ac:dyDescent="0.25">
      <c r="B36" s="259" t="s">
        <v>99</v>
      </c>
      <c r="C36" s="368">
        <f ca="1">IF(C34&lt;0.001,0,($C$8/12)*C34)</f>
        <v>0</v>
      </c>
      <c r="D36" s="368">
        <f t="shared" ref="D36:N36" ca="1" si="27">IF(D34&lt;0.001,0,($C$8/12)*D34)</f>
        <v>0</v>
      </c>
      <c r="E36" s="368">
        <f t="shared" ca="1" si="27"/>
        <v>0</v>
      </c>
      <c r="F36" s="368">
        <f t="shared" ca="1" si="27"/>
        <v>0</v>
      </c>
      <c r="G36" s="368">
        <f t="shared" ca="1" si="27"/>
        <v>0</v>
      </c>
      <c r="H36" s="368">
        <f t="shared" ca="1" si="27"/>
        <v>0</v>
      </c>
      <c r="I36" s="368">
        <f t="shared" ca="1" si="27"/>
        <v>0</v>
      </c>
      <c r="J36" s="368">
        <f t="shared" ca="1" si="27"/>
        <v>0</v>
      </c>
      <c r="K36" s="368">
        <f t="shared" ca="1" si="27"/>
        <v>0</v>
      </c>
      <c r="L36" s="368">
        <f t="shared" ca="1" si="27"/>
        <v>0</v>
      </c>
      <c r="M36" s="368">
        <f t="shared" ca="1" si="27"/>
        <v>0</v>
      </c>
      <c r="N36" s="368">
        <f t="shared" ca="1" si="27"/>
        <v>0</v>
      </c>
      <c r="O36" s="369">
        <f ca="1">SUM(C36:N36)</f>
        <v>0</v>
      </c>
    </row>
    <row r="37" spans="2:15" x14ac:dyDescent="0.25">
      <c r="B37" s="259" t="s">
        <v>100</v>
      </c>
      <c r="C37" s="368">
        <f ca="1">IF(OR(C34&lt;0.001,YEAR($C$12)&gt;$B32,AND(YEAR($C$12)=$B32,MONTH($C$12)&gt;C33)),0,IF($C$10="Lineair",$C$9,IF($C$10="Annuïteit",IFERROR((C36/(1-(1+$C$8/12)^-($C$7-N26)))-C36,0),0)))</f>
        <v>0</v>
      </c>
      <c r="D37" s="368">
        <f t="shared" ref="D37:I37" ca="1" si="28">IF(OR(D34&lt;0.001,YEAR($C$12)&gt;$B32,AND(YEAR($C$12)=$B32,MONTH($C$12)&gt;D33)),0,IF($C$10="Lineair",$C$9,IF($C$10="Annuïteit",IFERROR((D36/(1-(1+$C$8/12)^-($C$7-C35)))-D36,0),0)))</f>
        <v>0</v>
      </c>
      <c r="E37" s="368">
        <f t="shared" ca="1" si="28"/>
        <v>0</v>
      </c>
      <c r="F37" s="368">
        <f t="shared" ca="1" si="28"/>
        <v>0</v>
      </c>
      <c r="G37" s="368">
        <f t="shared" ca="1" si="28"/>
        <v>0</v>
      </c>
      <c r="H37" s="368">
        <f t="shared" ca="1" si="28"/>
        <v>0</v>
      </c>
      <c r="I37" s="368">
        <f t="shared" ca="1" si="28"/>
        <v>0</v>
      </c>
      <c r="J37" s="368">
        <f t="shared" ref="J37" ca="1" si="29">IF(OR(J34&lt;0.001,YEAR($C$12)&gt;$B32,AND(YEAR($C$12)=$B32,MONTH($C$12)&gt;J33)),0,IF($C$10="Lineair",$C$9,IF($C$10="Annuïteit",IFERROR((J36/(1-(1+$C$8/12)^-($C$7-I35)))-J36,0),0)))</f>
        <v>0</v>
      </c>
      <c r="K37" s="368">
        <f t="shared" ref="K37" ca="1" si="30">IF(OR(K34&lt;0.001,YEAR($C$12)&gt;$B32,AND(YEAR($C$12)=$B32,MONTH($C$12)&gt;K33)),0,IF($C$10="Lineair",$C$9,IF($C$10="Annuïteit",IFERROR((K36/(1-(1+$C$8/12)^-($C$7-J35)))-K36,0),0)))</f>
        <v>0</v>
      </c>
      <c r="L37" s="368">
        <f t="shared" ref="L37" ca="1" si="31">IF(OR(L34&lt;0.001,YEAR($C$12)&gt;$B32,AND(YEAR($C$12)=$B32,MONTH($C$12)&gt;L33)),0,IF($C$10="Lineair",$C$9,IF($C$10="Annuïteit",IFERROR((L36/(1-(1+$C$8/12)^-($C$7-K35)))-L36,0),0)))</f>
        <v>0</v>
      </c>
      <c r="M37" s="368">
        <f t="shared" ref="M37" ca="1" si="32">IF(OR(M34&lt;0.001,YEAR($C$12)&gt;$B32,AND(YEAR($C$12)=$B32,MONTH($C$12)&gt;M33)),0,IF($C$10="Lineair",$C$9,IF($C$10="Annuïteit",IFERROR((M36/(1-(1+$C$8/12)^-($C$7-L35)))-M36,0),0)))</f>
        <v>0</v>
      </c>
      <c r="N37" s="368">
        <f t="shared" ref="N37" ca="1" si="33">IF(OR(N34&lt;0.001,YEAR($C$12)&gt;$B32,AND(YEAR($C$12)=$B32,MONTH($C$12)&gt;N33)),0,IF($C$10="Lineair",$C$9,IF($C$10="Annuïteit",IFERROR((N36/(1-(1+$C$8/12)^-($C$7-M35)))-N36,0),0)))</f>
        <v>0</v>
      </c>
      <c r="O37" s="369">
        <f ca="1">SUM(C37:N37)</f>
        <v>0</v>
      </c>
    </row>
    <row r="38" spans="2:15" x14ac:dyDescent="0.25">
      <c r="B38" s="256" t="s">
        <v>101</v>
      </c>
      <c r="C38" s="372">
        <f t="shared" ref="C38:N38" ca="1" si="34">IF(AND(YEAR($C$11)=$B32,MONTH($C$11)=C33),$C$5,0)</f>
        <v>0</v>
      </c>
      <c r="D38" s="372">
        <f t="shared" ca="1" si="34"/>
        <v>0</v>
      </c>
      <c r="E38" s="372">
        <f t="shared" ca="1" si="34"/>
        <v>0</v>
      </c>
      <c r="F38" s="372">
        <f t="shared" ca="1" si="34"/>
        <v>0</v>
      </c>
      <c r="G38" s="372">
        <f t="shared" ca="1" si="34"/>
        <v>0</v>
      </c>
      <c r="H38" s="372">
        <f t="shared" ca="1" si="34"/>
        <v>0</v>
      </c>
      <c r="I38" s="372">
        <f t="shared" ca="1" si="34"/>
        <v>0</v>
      </c>
      <c r="J38" s="372">
        <f t="shared" ca="1" si="34"/>
        <v>0</v>
      </c>
      <c r="K38" s="372">
        <f t="shared" ca="1" si="34"/>
        <v>0</v>
      </c>
      <c r="L38" s="372">
        <f t="shared" ca="1" si="34"/>
        <v>0</v>
      </c>
      <c r="M38" s="372">
        <f t="shared" ca="1" si="34"/>
        <v>0</v>
      </c>
      <c r="N38" s="372">
        <f t="shared" ca="1" si="34"/>
        <v>0</v>
      </c>
      <c r="O38" s="369">
        <f ca="1">SUM(C38:N38)</f>
        <v>0</v>
      </c>
    </row>
    <row r="39" spans="2:15" x14ac:dyDescent="0.25">
      <c r="B39" s="373" t="s">
        <v>102</v>
      </c>
      <c r="C39" s="374">
        <f t="shared" ref="C39:N39" ca="1" si="35">SUM(C36:C38)</f>
        <v>0</v>
      </c>
      <c r="D39" s="374">
        <f t="shared" ca="1" si="35"/>
        <v>0</v>
      </c>
      <c r="E39" s="374">
        <f t="shared" ca="1" si="35"/>
        <v>0</v>
      </c>
      <c r="F39" s="374">
        <f t="shared" ca="1" si="35"/>
        <v>0</v>
      </c>
      <c r="G39" s="374">
        <f t="shared" ca="1" si="35"/>
        <v>0</v>
      </c>
      <c r="H39" s="374">
        <f t="shared" ca="1" si="35"/>
        <v>0</v>
      </c>
      <c r="I39" s="374">
        <f t="shared" ca="1" si="35"/>
        <v>0</v>
      </c>
      <c r="J39" s="374">
        <f t="shared" ca="1" si="35"/>
        <v>0</v>
      </c>
      <c r="K39" s="374">
        <f t="shared" ca="1" si="35"/>
        <v>0</v>
      </c>
      <c r="L39" s="374">
        <f t="shared" ca="1" si="35"/>
        <v>0</v>
      </c>
      <c r="M39" s="374">
        <f t="shared" ca="1" si="35"/>
        <v>0</v>
      </c>
      <c r="N39" s="374">
        <f t="shared" ca="1" si="35"/>
        <v>0</v>
      </c>
      <c r="O39" s="369">
        <f ca="1">SUM(C39:N39)</f>
        <v>0</v>
      </c>
    </row>
    <row r="40" spans="2:15" x14ac:dyDescent="0.25">
      <c r="B40" s="75"/>
      <c r="C40" s="75"/>
      <c r="D40" s="75"/>
      <c r="E40" s="75"/>
      <c r="F40" s="75"/>
      <c r="G40" s="75"/>
      <c r="H40" s="75"/>
      <c r="I40" s="75"/>
      <c r="J40" s="75"/>
      <c r="K40" s="75"/>
      <c r="L40" s="75"/>
      <c r="M40" s="75"/>
      <c r="N40" s="75"/>
      <c r="O40" s="377"/>
    </row>
    <row r="41" spans="2:15" x14ac:dyDescent="0.25">
      <c r="B41" s="351">
        <f>B32+1</f>
        <v>2026</v>
      </c>
      <c r="C41" s="247" t="s">
        <v>181</v>
      </c>
      <c r="D41" s="247" t="s">
        <v>182</v>
      </c>
      <c r="E41" s="247" t="s">
        <v>183</v>
      </c>
      <c r="F41" s="247" t="s">
        <v>184</v>
      </c>
      <c r="G41" s="247" t="s">
        <v>185</v>
      </c>
      <c r="H41" s="247" t="s">
        <v>186</v>
      </c>
      <c r="I41" s="247" t="s">
        <v>187</v>
      </c>
      <c r="J41" s="247" t="s">
        <v>188</v>
      </c>
      <c r="K41" s="247" t="s">
        <v>189</v>
      </c>
      <c r="L41" s="247" t="s">
        <v>190</v>
      </c>
      <c r="M41" s="247" t="s">
        <v>191</v>
      </c>
      <c r="N41" s="247" t="s">
        <v>192</v>
      </c>
      <c r="O41" s="303" t="s">
        <v>408</v>
      </c>
    </row>
    <row r="42" spans="2:15" x14ac:dyDescent="0.25">
      <c r="B42" s="259"/>
      <c r="C42" s="301">
        <v>1</v>
      </c>
      <c r="D42" s="301">
        <v>2</v>
      </c>
      <c r="E42" s="301">
        <v>3</v>
      </c>
      <c r="F42" s="301">
        <v>4</v>
      </c>
      <c r="G42" s="301">
        <v>5</v>
      </c>
      <c r="H42" s="301">
        <v>6</v>
      </c>
      <c r="I42" s="301">
        <v>7</v>
      </c>
      <c r="J42" s="301">
        <v>8</v>
      </c>
      <c r="K42" s="301">
        <v>9</v>
      </c>
      <c r="L42" s="301">
        <v>10</v>
      </c>
      <c r="M42" s="301">
        <v>11</v>
      </c>
      <c r="N42" s="301">
        <v>12</v>
      </c>
      <c r="O42" s="302"/>
    </row>
    <row r="43" spans="2:15" x14ac:dyDescent="0.25">
      <c r="B43" s="259" t="s">
        <v>98</v>
      </c>
      <c r="C43" s="368">
        <f ca="1">IF(AND(YEAR($C$11)=$B41,MONTH($C$11)=C42),$C$4,N34-N37)</f>
        <v>0</v>
      </c>
      <c r="D43" s="368">
        <f t="shared" ref="D43:I43" ca="1" si="36">IF(AND(YEAR($C$11)=$B41,MONTH($C$11)=D42),$C$4,C43-C46)</f>
        <v>0</v>
      </c>
      <c r="E43" s="368">
        <f t="shared" ca="1" si="36"/>
        <v>0</v>
      </c>
      <c r="F43" s="368">
        <f t="shared" ca="1" si="36"/>
        <v>0</v>
      </c>
      <c r="G43" s="368">
        <f t="shared" ca="1" si="36"/>
        <v>0</v>
      </c>
      <c r="H43" s="368">
        <f t="shared" ca="1" si="36"/>
        <v>0</v>
      </c>
      <c r="I43" s="368">
        <f t="shared" ca="1" si="36"/>
        <v>0</v>
      </c>
      <c r="J43" s="368">
        <f t="shared" ref="J43" ca="1" si="37">IF(AND(YEAR($C$11)=$B41,MONTH($C$11)=J42),$C$4,I43-I46)</f>
        <v>0</v>
      </c>
      <c r="K43" s="368">
        <f t="shared" ref="K43" ca="1" si="38">IF(AND(YEAR($C$11)=$B41,MONTH($C$11)=K42),$C$4,J43-J46)</f>
        <v>0</v>
      </c>
      <c r="L43" s="368">
        <f t="shared" ref="L43" ca="1" si="39">IF(AND(YEAR($C$11)=$B41,MONTH($C$11)=L42),$C$4,K43-K46)</f>
        <v>0</v>
      </c>
      <c r="M43" s="368">
        <f t="shared" ref="M43" ca="1" si="40">IF(AND(YEAR($C$11)=$B41,MONTH($C$11)=M42),$C$4,L43-L46)</f>
        <v>0</v>
      </c>
      <c r="N43" s="368">
        <f t="shared" ref="N43" ca="1" si="41">IF(AND(YEAR($C$11)=$B41,MONTH($C$11)=N42),$C$4,M43-M46)</f>
        <v>0</v>
      </c>
      <c r="O43" s="369"/>
    </row>
    <row r="44" spans="2:15" x14ac:dyDescent="0.25">
      <c r="B44" s="259"/>
      <c r="C44" s="370">
        <f ca="1">C35+12</f>
        <v>30</v>
      </c>
      <c r="D44" s="370">
        <f t="shared" ref="D44:N44" ca="1" si="42">D35+12</f>
        <v>31</v>
      </c>
      <c r="E44" s="370">
        <f t="shared" ca="1" si="42"/>
        <v>32</v>
      </c>
      <c r="F44" s="370">
        <f t="shared" ca="1" si="42"/>
        <v>33</v>
      </c>
      <c r="G44" s="370">
        <f t="shared" ca="1" si="42"/>
        <v>34</v>
      </c>
      <c r="H44" s="370">
        <f t="shared" ca="1" si="42"/>
        <v>35</v>
      </c>
      <c r="I44" s="370">
        <f t="shared" ca="1" si="42"/>
        <v>36</v>
      </c>
      <c r="J44" s="370">
        <f t="shared" ca="1" si="42"/>
        <v>37</v>
      </c>
      <c r="K44" s="370">
        <f t="shared" ca="1" si="42"/>
        <v>38</v>
      </c>
      <c r="L44" s="370">
        <f t="shared" ca="1" si="42"/>
        <v>39</v>
      </c>
      <c r="M44" s="370">
        <f t="shared" ca="1" si="42"/>
        <v>40</v>
      </c>
      <c r="N44" s="370">
        <f t="shared" ca="1" si="42"/>
        <v>41</v>
      </c>
      <c r="O44" s="371"/>
    </row>
    <row r="45" spans="2:15" x14ac:dyDescent="0.25">
      <c r="B45" s="259" t="s">
        <v>99</v>
      </c>
      <c r="C45" s="368">
        <f t="shared" ref="C45:N45" ca="1" si="43">IF(C43&lt;0.001,0,($C$8/12)*C43)</f>
        <v>0</v>
      </c>
      <c r="D45" s="368">
        <f t="shared" ca="1" si="43"/>
        <v>0</v>
      </c>
      <c r="E45" s="368">
        <f t="shared" ca="1" si="43"/>
        <v>0</v>
      </c>
      <c r="F45" s="368">
        <f t="shared" ca="1" si="43"/>
        <v>0</v>
      </c>
      <c r="G45" s="368">
        <f t="shared" ca="1" si="43"/>
        <v>0</v>
      </c>
      <c r="H45" s="368">
        <f t="shared" ca="1" si="43"/>
        <v>0</v>
      </c>
      <c r="I45" s="368">
        <f t="shared" ca="1" si="43"/>
        <v>0</v>
      </c>
      <c r="J45" s="368">
        <f t="shared" ca="1" si="43"/>
        <v>0</v>
      </c>
      <c r="K45" s="368">
        <f t="shared" ca="1" si="43"/>
        <v>0</v>
      </c>
      <c r="L45" s="368">
        <f t="shared" ca="1" si="43"/>
        <v>0</v>
      </c>
      <c r="M45" s="368">
        <f t="shared" ca="1" si="43"/>
        <v>0</v>
      </c>
      <c r="N45" s="368">
        <f t="shared" ca="1" si="43"/>
        <v>0</v>
      </c>
      <c r="O45" s="369">
        <f ca="1">SUM(C45:N45)</f>
        <v>0</v>
      </c>
    </row>
    <row r="46" spans="2:15" x14ac:dyDescent="0.25">
      <c r="B46" s="259" t="s">
        <v>100</v>
      </c>
      <c r="C46" s="368">
        <f ca="1">IF(OR(C43&lt;0.001,YEAR($C$12)&gt;$B41,AND(YEAR($C$12)=$B41,MONTH($C$12)&gt;C42)),0,IF($C$10="Lineair",$C$9,IF($C$10="Annuïteit",IFERROR((C45/(1-(1+$C$8/12)^-($C$7-N35)))-C45,0),0)))</f>
        <v>0</v>
      </c>
      <c r="D46" s="368">
        <f t="shared" ref="D46:I46" ca="1" si="44">IF(OR(D43&lt;0.001,YEAR($C$12)&gt;$B41,AND(YEAR($C$12)=$B41,MONTH($C$12)&gt;D42)),0,IF($C$10="Lineair",$C$9,IF($C$10="Annuïteit",IFERROR((D45/(1-(1+$C$8/12)^-($C$7-C44)))-D45,0),0)))</f>
        <v>0</v>
      </c>
      <c r="E46" s="368">
        <f t="shared" ca="1" si="44"/>
        <v>0</v>
      </c>
      <c r="F46" s="368">
        <f t="shared" ca="1" si="44"/>
        <v>0</v>
      </c>
      <c r="G46" s="368">
        <f t="shared" ca="1" si="44"/>
        <v>0</v>
      </c>
      <c r="H46" s="368">
        <f t="shared" ca="1" si="44"/>
        <v>0</v>
      </c>
      <c r="I46" s="368">
        <f t="shared" ca="1" si="44"/>
        <v>0</v>
      </c>
      <c r="J46" s="368">
        <f t="shared" ref="J46" ca="1" si="45">IF(OR(J43&lt;0.001,YEAR($C$12)&gt;$B41,AND(YEAR($C$12)=$B41,MONTH($C$12)&gt;J42)),0,IF($C$10="Lineair",$C$9,IF($C$10="Annuïteit",IFERROR((J45/(1-(1+$C$8/12)^-($C$7-I44)))-J45,0),0)))</f>
        <v>0</v>
      </c>
      <c r="K46" s="368">
        <f t="shared" ref="K46" ca="1" si="46">IF(OR(K43&lt;0.001,YEAR($C$12)&gt;$B41,AND(YEAR($C$12)=$B41,MONTH($C$12)&gt;K42)),0,IF($C$10="Lineair",$C$9,IF($C$10="Annuïteit",IFERROR((K45/(1-(1+$C$8/12)^-($C$7-J44)))-K45,0),0)))</f>
        <v>0</v>
      </c>
      <c r="L46" s="368">
        <f t="shared" ref="L46" ca="1" si="47">IF(OR(L43&lt;0.001,YEAR($C$12)&gt;$B41,AND(YEAR($C$12)=$B41,MONTH($C$12)&gt;L42)),0,IF($C$10="Lineair",$C$9,IF($C$10="Annuïteit",IFERROR((L45/(1-(1+$C$8/12)^-($C$7-K44)))-L45,0),0)))</f>
        <v>0</v>
      </c>
      <c r="M46" s="368">
        <f t="shared" ref="M46" ca="1" si="48">IF(OR(M43&lt;0.001,YEAR($C$12)&gt;$B41,AND(YEAR($C$12)=$B41,MONTH($C$12)&gt;M42)),0,IF($C$10="Lineair",$C$9,IF($C$10="Annuïteit",IFERROR((M45/(1-(1+$C$8/12)^-($C$7-L44)))-M45,0),0)))</f>
        <v>0</v>
      </c>
      <c r="N46" s="368">
        <f t="shared" ref="N46" ca="1" si="49">IF(OR(N43&lt;0.001,YEAR($C$12)&gt;$B41,AND(YEAR($C$12)=$B41,MONTH($C$12)&gt;N42)),0,IF($C$10="Lineair",$C$9,IF($C$10="Annuïteit",IFERROR((N45/(1-(1+$C$8/12)^-($C$7-M44)))-N45,0),0)))</f>
        <v>0</v>
      </c>
      <c r="O46" s="369">
        <f ca="1">SUM(C46:N46)</f>
        <v>0</v>
      </c>
    </row>
    <row r="47" spans="2:15" x14ac:dyDescent="0.25">
      <c r="B47" s="256" t="s">
        <v>101</v>
      </c>
      <c r="C47" s="372">
        <f t="shared" ref="C47:N47" ca="1" si="50">IF(AND(YEAR($C$11)=$B41,MONTH($C$11)=C42),$C$5,0)</f>
        <v>0</v>
      </c>
      <c r="D47" s="372">
        <f t="shared" ca="1" si="50"/>
        <v>0</v>
      </c>
      <c r="E47" s="372">
        <f t="shared" ca="1" si="50"/>
        <v>0</v>
      </c>
      <c r="F47" s="372">
        <f t="shared" ca="1" si="50"/>
        <v>0</v>
      </c>
      <c r="G47" s="372">
        <f t="shared" ca="1" si="50"/>
        <v>0</v>
      </c>
      <c r="H47" s="372">
        <f t="shared" ca="1" si="50"/>
        <v>0</v>
      </c>
      <c r="I47" s="372">
        <f t="shared" ca="1" si="50"/>
        <v>0</v>
      </c>
      <c r="J47" s="372">
        <f t="shared" ca="1" si="50"/>
        <v>0</v>
      </c>
      <c r="K47" s="372">
        <f t="shared" ca="1" si="50"/>
        <v>0</v>
      </c>
      <c r="L47" s="372">
        <f t="shared" ca="1" si="50"/>
        <v>0</v>
      </c>
      <c r="M47" s="372">
        <f t="shared" ca="1" si="50"/>
        <v>0</v>
      </c>
      <c r="N47" s="372">
        <f t="shared" ca="1" si="50"/>
        <v>0</v>
      </c>
      <c r="O47" s="369">
        <f ca="1">SUM(C47:N47)</f>
        <v>0</v>
      </c>
    </row>
    <row r="48" spans="2:15" x14ac:dyDescent="0.25">
      <c r="B48" s="373" t="s">
        <v>102</v>
      </c>
      <c r="C48" s="374">
        <f t="shared" ref="C48:N48" ca="1" si="51">SUM(C45:C47)</f>
        <v>0</v>
      </c>
      <c r="D48" s="374">
        <f t="shared" ca="1" si="51"/>
        <v>0</v>
      </c>
      <c r="E48" s="374">
        <f t="shared" ca="1" si="51"/>
        <v>0</v>
      </c>
      <c r="F48" s="374">
        <f t="shared" ca="1" si="51"/>
        <v>0</v>
      </c>
      <c r="G48" s="374">
        <f t="shared" ca="1" si="51"/>
        <v>0</v>
      </c>
      <c r="H48" s="374">
        <f t="shared" ca="1" si="51"/>
        <v>0</v>
      </c>
      <c r="I48" s="374">
        <f t="shared" ca="1" si="51"/>
        <v>0</v>
      </c>
      <c r="J48" s="374">
        <f t="shared" ca="1" si="51"/>
        <v>0</v>
      </c>
      <c r="K48" s="374">
        <f t="shared" ca="1" si="51"/>
        <v>0</v>
      </c>
      <c r="L48" s="374">
        <f t="shared" ca="1" si="51"/>
        <v>0</v>
      </c>
      <c r="M48" s="374">
        <f t="shared" ca="1" si="51"/>
        <v>0</v>
      </c>
      <c r="N48" s="374">
        <f t="shared" ca="1" si="51"/>
        <v>0</v>
      </c>
      <c r="O48" s="369">
        <f ca="1">SUM(C48:N48)</f>
        <v>0</v>
      </c>
    </row>
    <row r="49" spans="2:15" x14ac:dyDescent="0.25">
      <c r="B49" s="75"/>
      <c r="C49" s="75"/>
      <c r="D49" s="75"/>
      <c r="E49" s="75"/>
      <c r="F49" s="75"/>
      <c r="G49" s="75"/>
      <c r="H49" s="75"/>
      <c r="I49" s="75"/>
      <c r="J49" s="75"/>
      <c r="K49" s="75"/>
      <c r="L49" s="75"/>
      <c r="M49" s="75"/>
      <c r="N49" s="75"/>
      <c r="O49" s="377"/>
    </row>
    <row r="50" spans="2:15" x14ac:dyDescent="0.25">
      <c r="B50" s="351">
        <f>B41+1</f>
        <v>2027</v>
      </c>
      <c r="C50" s="247" t="s">
        <v>181</v>
      </c>
      <c r="D50" s="247" t="s">
        <v>182</v>
      </c>
      <c r="E50" s="247" t="s">
        <v>183</v>
      </c>
      <c r="F50" s="247" t="s">
        <v>184</v>
      </c>
      <c r="G50" s="247" t="s">
        <v>185</v>
      </c>
      <c r="H50" s="247" t="s">
        <v>186</v>
      </c>
      <c r="I50" s="247" t="s">
        <v>187</v>
      </c>
      <c r="J50" s="247" t="s">
        <v>188</v>
      </c>
      <c r="K50" s="247" t="s">
        <v>189</v>
      </c>
      <c r="L50" s="247" t="s">
        <v>190</v>
      </c>
      <c r="M50" s="247" t="s">
        <v>191</v>
      </c>
      <c r="N50" s="247" t="s">
        <v>192</v>
      </c>
      <c r="O50" s="303" t="s">
        <v>408</v>
      </c>
    </row>
    <row r="51" spans="2:15" x14ac:dyDescent="0.25">
      <c r="B51" s="259"/>
      <c r="C51" s="301">
        <v>1</v>
      </c>
      <c r="D51" s="301">
        <v>2</v>
      </c>
      <c r="E51" s="301">
        <v>3</v>
      </c>
      <c r="F51" s="301">
        <v>4</v>
      </c>
      <c r="G51" s="301">
        <v>5</v>
      </c>
      <c r="H51" s="301">
        <v>6</v>
      </c>
      <c r="I51" s="301">
        <v>7</v>
      </c>
      <c r="J51" s="301">
        <v>8</v>
      </c>
      <c r="K51" s="301">
        <v>9</v>
      </c>
      <c r="L51" s="301">
        <v>10</v>
      </c>
      <c r="M51" s="301">
        <v>11</v>
      </c>
      <c r="N51" s="301">
        <v>12</v>
      </c>
      <c r="O51" s="302"/>
    </row>
    <row r="52" spans="2:15" x14ac:dyDescent="0.25">
      <c r="B52" s="259" t="s">
        <v>98</v>
      </c>
      <c r="C52" s="368">
        <f ca="1">IF(AND(YEAR($C$11)=$B50,MONTH($C$11)=C51),$C$4,N43-N46)</f>
        <v>0</v>
      </c>
      <c r="D52" s="368">
        <f t="shared" ref="D52:I52" ca="1" si="52">IF(AND(YEAR($C$11)=$B50,MONTH($C$11)=D51),$C$4,C52-C55)</f>
        <v>0</v>
      </c>
      <c r="E52" s="368">
        <f t="shared" ca="1" si="52"/>
        <v>0</v>
      </c>
      <c r="F52" s="368">
        <f t="shared" ca="1" si="52"/>
        <v>0</v>
      </c>
      <c r="G52" s="368">
        <f t="shared" ca="1" si="52"/>
        <v>0</v>
      </c>
      <c r="H52" s="368">
        <f t="shared" ca="1" si="52"/>
        <v>0</v>
      </c>
      <c r="I52" s="368">
        <f t="shared" ca="1" si="52"/>
        <v>0</v>
      </c>
      <c r="J52" s="368">
        <f t="shared" ref="J52" ca="1" si="53">IF(AND(YEAR($C$11)=$B50,MONTH($C$11)=J51),$C$4,I52-I55)</f>
        <v>0</v>
      </c>
      <c r="K52" s="368">
        <f t="shared" ref="K52" ca="1" si="54">IF(AND(YEAR($C$11)=$B50,MONTH($C$11)=K51),$C$4,J52-J55)</f>
        <v>0</v>
      </c>
      <c r="L52" s="368">
        <f t="shared" ref="L52" ca="1" si="55">IF(AND(YEAR($C$11)=$B50,MONTH($C$11)=L51),$C$4,K52-K55)</f>
        <v>0</v>
      </c>
      <c r="M52" s="368">
        <f t="shared" ref="M52" ca="1" si="56">IF(AND(YEAR($C$11)=$B50,MONTH($C$11)=M51),$C$4,L52-L55)</f>
        <v>0</v>
      </c>
      <c r="N52" s="368">
        <f t="shared" ref="N52" ca="1" si="57">IF(AND(YEAR($C$11)=$B50,MONTH($C$11)=N51),$C$4,M52-M55)</f>
        <v>0</v>
      </c>
      <c r="O52" s="369"/>
    </row>
    <row r="53" spans="2:15" x14ac:dyDescent="0.25">
      <c r="B53" s="259"/>
      <c r="C53" s="370">
        <f ca="1">C44+12</f>
        <v>42</v>
      </c>
      <c r="D53" s="370">
        <f t="shared" ref="D53:N53" ca="1" si="58">D44+12</f>
        <v>43</v>
      </c>
      <c r="E53" s="370">
        <f t="shared" ca="1" si="58"/>
        <v>44</v>
      </c>
      <c r="F53" s="370">
        <f t="shared" ca="1" si="58"/>
        <v>45</v>
      </c>
      <c r="G53" s="370">
        <f t="shared" ca="1" si="58"/>
        <v>46</v>
      </c>
      <c r="H53" s="370">
        <f t="shared" ca="1" si="58"/>
        <v>47</v>
      </c>
      <c r="I53" s="370">
        <f t="shared" ca="1" si="58"/>
        <v>48</v>
      </c>
      <c r="J53" s="370">
        <f t="shared" ca="1" si="58"/>
        <v>49</v>
      </c>
      <c r="K53" s="370">
        <f t="shared" ca="1" si="58"/>
        <v>50</v>
      </c>
      <c r="L53" s="370">
        <f t="shared" ca="1" si="58"/>
        <v>51</v>
      </c>
      <c r="M53" s="370">
        <f t="shared" ca="1" si="58"/>
        <v>52</v>
      </c>
      <c r="N53" s="370">
        <f t="shared" ca="1" si="58"/>
        <v>53</v>
      </c>
      <c r="O53" s="371"/>
    </row>
    <row r="54" spans="2:15" x14ac:dyDescent="0.25">
      <c r="B54" s="259" t="s">
        <v>99</v>
      </c>
      <c r="C54" s="368">
        <f t="shared" ref="C54:N54" ca="1" si="59">IF(C52&lt;0.001,0,($C$8/12)*C52)</f>
        <v>0</v>
      </c>
      <c r="D54" s="368">
        <f t="shared" ca="1" si="59"/>
        <v>0</v>
      </c>
      <c r="E54" s="368">
        <f t="shared" ca="1" si="59"/>
        <v>0</v>
      </c>
      <c r="F54" s="368">
        <f t="shared" ca="1" si="59"/>
        <v>0</v>
      </c>
      <c r="G54" s="368">
        <f t="shared" ca="1" si="59"/>
        <v>0</v>
      </c>
      <c r="H54" s="368">
        <f t="shared" ca="1" si="59"/>
        <v>0</v>
      </c>
      <c r="I54" s="368">
        <f t="shared" ca="1" si="59"/>
        <v>0</v>
      </c>
      <c r="J54" s="368">
        <f t="shared" ca="1" si="59"/>
        <v>0</v>
      </c>
      <c r="K54" s="368">
        <f t="shared" ca="1" si="59"/>
        <v>0</v>
      </c>
      <c r="L54" s="368">
        <f t="shared" ca="1" si="59"/>
        <v>0</v>
      </c>
      <c r="M54" s="368">
        <f t="shared" ca="1" si="59"/>
        <v>0</v>
      </c>
      <c r="N54" s="368">
        <f t="shared" ca="1" si="59"/>
        <v>0</v>
      </c>
      <c r="O54" s="369">
        <f ca="1">SUM(C54:N54)</f>
        <v>0</v>
      </c>
    </row>
    <row r="55" spans="2:15" x14ac:dyDescent="0.25">
      <c r="B55" s="259" t="s">
        <v>100</v>
      </c>
      <c r="C55" s="368">
        <f ca="1">IF(OR(C52&lt;0.001,YEAR($C$12)&gt;$B50,AND(YEAR($C$12)=$B50,MONTH($C$12)&gt;C51)),0,IF($C$10="Lineair",$C$9,IF($C$10="Annuïteit",IFERROR((C54/(1-(1+$C$8/12)^-($C$7-N44)))-C54,0),0)))</f>
        <v>0</v>
      </c>
      <c r="D55" s="368">
        <f t="shared" ref="D55:I55" ca="1" si="60">IF(OR(D52&lt;0.001,YEAR($C$12)&gt;$B50,AND(YEAR($C$12)=$B50,MONTH($C$12)&gt;D51)),0,IF($C$10="Lineair",$C$9,IF($C$10="Annuïteit",IFERROR((D54/(1-(1+$C$8/12)^-($C$7-C53)))-D54,0),0)))</f>
        <v>0</v>
      </c>
      <c r="E55" s="368">
        <f t="shared" ca="1" si="60"/>
        <v>0</v>
      </c>
      <c r="F55" s="368">
        <f t="shared" ca="1" si="60"/>
        <v>0</v>
      </c>
      <c r="G55" s="368">
        <f t="shared" ca="1" si="60"/>
        <v>0</v>
      </c>
      <c r="H55" s="368">
        <f t="shared" ca="1" si="60"/>
        <v>0</v>
      </c>
      <c r="I55" s="368">
        <f t="shared" ca="1" si="60"/>
        <v>0</v>
      </c>
      <c r="J55" s="368">
        <f t="shared" ref="J55" ca="1" si="61">IF(OR(J52&lt;0.001,YEAR($C$12)&gt;$B50,AND(YEAR($C$12)=$B50,MONTH($C$12)&gt;J51)),0,IF($C$10="Lineair",$C$9,IF($C$10="Annuïteit",IFERROR((J54/(1-(1+$C$8/12)^-($C$7-I53)))-J54,0),0)))</f>
        <v>0</v>
      </c>
      <c r="K55" s="368">
        <f t="shared" ref="K55" ca="1" si="62">IF(OR(K52&lt;0.001,YEAR($C$12)&gt;$B50,AND(YEAR($C$12)=$B50,MONTH($C$12)&gt;K51)),0,IF($C$10="Lineair",$C$9,IF($C$10="Annuïteit",IFERROR((K54/(1-(1+$C$8/12)^-($C$7-J53)))-K54,0),0)))</f>
        <v>0</v>
      </c>
      <c r="L55" s="368">
        <f t="shared" ref="L55" ca="1" si="63">IF(OR(L52&lt;0.001,YEAR($C$12)&gt;$B50,AND(YEAR($C$12)=$B50,MONTH($C$12)&gt;L51)),0,IF($C$10="Lineair",$C$9,IF($C$10="Annuïteit",IFERROR((L54/(1-(1+$C$8/12)^-($C$7-K53)))-L54,0),0)))</f>
        <v>0</v>
      </c>
      <c r="M55" s="368">
        <f t="shared" ref="M55" ca="1" si="64">IF(OR(M52&lt;0.001,YEAR($C$12)&gt;$B50,AND(YEAR($C$12)=$B50,MONTH($C$12)&gt;M51)),0,IF($C$10="Lineair",$C$9,IF($C$10="Annuïteit",IFERROR((M54/(1-(1+$C$8/12)^-($C$7-L53)))-M54,0),0)))</f>
        <v>0</v>
      </c>
      <c r="N55" s="368">
        <f t="shared" ref="N55" ca="1" si="65">IF(OR(N52&lt;0.001,YEAR($C$12)&gt;$B50,AND(YEAR($C$12)=$B50,MONTH($C$12)&gt;N51)),0,IF($C$10="Lineair",$C$9,IF($C$10="Annuïteit",IFERROR((N54/(1-(1+$C$8/12)^-($C$7-M53)))-N54,0),0)))</f>
        <v>0</v>
      </c>
      <c r="O55" s="369">
        <f ca="1">SUM(C55:N55)</f>
        <v>0</v>
      </c>
    </row>
    <row r="56" spans="2:15" x14ac:dyDescent="0.25">
      <c r="B56" s="256" t="s">
        <v>101</v>
      </c>
      <c r="C56" s="372">
        <f t="shared" ref="C56:N56" ca="1" si="66">IF(AND(YEAR($C$11)=$B50,MONTH($C$11)=C51),$C$5,0)</f>
        <v>0</v>
      </c>
      <c r="D56" s="372">
        <f t="shared" ca="1" si="66"/>
        <v>0</v>
      </c>
      <c r="E56" s="372">
        <f t="shared" ca="1" si="66"/>
        <v>0</v>
      </c>
      <c r="F56" s="372">
        <f t="shared" ca="1" si="66"/>
        <v>0</v>
      </c>
      <c r="G56" s="372">
        <f t="shared" ca="1" si="66"/>
        <v>0</v>
      </c>
      <c r="H56" s="372">
        <f t="shared" ca="1" si="66"/>
        <v>0</v>
      </c>
      <c r="I56" s="372">
        <f t="shared" ca="1" si="66"/>
        <v>0</v>
      </c>
      <c r="J56" s="372">
        <f t="shared" ca="1" si="66"/>
        <v>0</v>
      </c>
      <c r="K56" s="372">
        <f t="shared" ca="1" si="66"/>
        <v>0</v>
      </c>
      <c r="L56" s="372">
        <f t="shared" ca="1" si="66"/>
        <v>0</v>
      </c>
      <c r="M56" s="372">
        <f t="shared" ca="1" si="66"/>
        <v>0</v>
      </c>
      <c r="N56" s="372">
        <f t="shared" ca="1" si="66"/>
        <v>0</v>
      </c>
      <c r="O56" s="369">
        <f ca="1">SUM(C56:N56)</f>
        <v>0</v>
      </c>
    </row>
    <row r="57" spans="2:15" x14ac:dyDescent="0.25">
      <c r="B57" s="373" t="s">
        <v>102</v>
      </c>
      <c r="C57" s="374">
        <f t="shared" ref="C57:N57" ca="1" si="67">SUM(C54:C56)</f>
        <v>0</v>
      </c>
      <c r="D57" s="374">
        <f t="shared" ca="1" si="67"/>
        <v>0</v>
      </c>
      <c r="E57" s="374">
        <f t="shared" ca="1" si="67"/>
        <v>0</v>
      </c>
      <c r="F57" s="374">
        <f t="shared" ca="1" si="67"/>
        <v>0</v>
      </c>
      <c r="G57" s="374">
        <f t="shared" ca="1" si="67"/>
        <v>0</v>
      </c>
      <c r="H57" s="374">
        <f t="shared" ca="1" si="67"/>
        <v>0</v>
      </c>
      <c r="I57" s="374">
        <f t="shared" ca="1" si="67"/>
        <v>0</v>
      </c>
      <c r="J57" s="374">
        <f t="shared" ca="1" si="67"/>
        <v>0</v>
      </c>
      <c r="K57" s="374">
        <f t="shared" ca="1" si="67"/>
        <v>0</v>
      </c>
      <c r="L57" s="374">
        <f t="shared" ca="1" si="67"/>
        <v>0</v>
      </c>
      <c r="M57" s="374">
        <f t="shared" ca="1" si="67"/>
        <v>0</v>
      </c>
      <c r="N57" s="374">
        <f t="shared" ca="1" si="67"/>
        <v>0</v>
      </c>
      <c r="O57" s="369">
        <f ca="1">SUM(C57:N57)</f>
        <v>0</v>
      </c>
    </row>
    <row r="58" spans="2:15" x14ac:dyDescent="0.25">
      <c r="B58" s="75"/>
      <c r="C58" s="75"/>
      <c r="D58" s="75"/>
      <c r="E58" s="75"/>
      <c r="F58" s="75"/>
      <c r="G58" s="75"/>
      <c r="H58" s="75"/>
      <c r="I58" s="75"/>
      <c r="J58" s="75"/>
      <c r="K58" s="75"/>
      <c r="L58" s="75"/>
      <c r="M58" s="75"/>
      <c r="N58" s="75"/>
      <c r="O58" s="377"/>
    </row>
    <row r="59" spans="2:15" x14ac:dyDescent="0.25">
      <c r="B59" s="351">
        <f>B50+1</f>
        <v>2028</v>
      </c>
      <c r="C59" s="247" t="s">
        <v>181</v>
      </c>
      <c r="D59" s="247" t="s">
        <v>182</v>
      </c>
      <c r="E59" s="247" t="s">
        <v>183</v>
      </c>
      <c r="F59" s="247" t="s">
        <v>184</v>
      </c>
      <c r="G59" s="247" t="s">
        <v>185</v>
      </c>
      <c r="H59" s="247" t="s">
        <v>186</v>
      </c>
      <c r="I59" s="247" t="s">
        <v>187</v>
      </c>
      <c r="J59" s="247" t="s">
        <v>188</v>
      </c>
      <c r="K59" s="247" t="s">
        <v>189</v>
      </c>
      <c r="L59" s="247" t="s">
        <v>190</v>
      </c>
      <c r="M59" s="247" t="s">
        <v>191</v>
      </c>
      <c r="N59" s="247" t="s">
        <v>192</v>
      </c>
      <c r="O59" s="303" t="s">
        <v>408</v>
      </c>
    </row>
    <row r="60" spans="2:15" x14ac:dyDescent="0.25">
      <c r="B60" s="259"/>
      <c r="C60" s="301">
        <v>1</v>
      </c>
      <c r="D60" s="301">
        <v>2</v>
      </c>
      <c r="E60" s="301">
        <v>3</v>
      </c>
      <c r="F60" s="301">
        <v>4</v>
      </c>
      <c r="G60" s="301">
        <v>5</v>
      </c>
      <c r="H60" s="301">
        <v>6</v>
      </c>
      <c r="I60" s="301">
        <v>7</v>
      </c>
      <c r="J60" s="301">
        <v>8</v>
      </c>
      <c r="K60" s="301">
        <v>9</v>
      </c>
      <c r="L60" s="301">
        <v>10</v>
      </c>
      <c r="M60" s="301">
        <v>11</v>
      </c>
      <c r="N60" s="301">
        <v>12</v>
      </c>
      <c r="O60" s="302"/>
    </row>
    <row r="61" spans="2:15" x14ac:dyDescent="0.25">
      <c r="B61" s="259" t="s">
        <v>98</v>
      </c>
      <c r="C61" s="368">
        <f ca="1">IF(AND(YEAR($C$11)=$B59,MONTH($C$11)=C60),$C$4,N52-N55)</f>
        <v>0</v>
      </c>
      <c r="D61" s="368">
        <f t="shared" ref="D61:I61" ca="1" si="68">IF(AND(YEAR($C$11)=$B59,MONTH($C$11)=D60),$C$4,C61-C64)</f>
        <v>0</v>
      </c>
      <c r="E61" s="368">
        <f t="shared" ca="1" si="68"/>
        <v>0</v>
      </c>
      <c r="F61" s="368">
        <f t="shared" ca="1" si="68"/>
        <v>0</v>
      </c>
      <c r="G61" s="368">
        <f t="shared" ca="1" si="68"/>
        <v>0</v>
      </c>
      <c r="H61" s="368">
        <f t="shared" ca="1" si="68"/>
        <v>0</v>
      </c>
      <c r="I61" s="368">
        <f t="shared" ca="1" si="68"/>
        <v>0</v>
      </c>
      <c r="J61" s="368">
        <f t="shared" ref="J61" ca="1" si="69">IF(AND(YEAR($C$11)=$B59,MONTH($C$11)=J60),$C$4,I61-I64)</f>
        <v>0</v>
      </c>
      <c r="K61" s="368">
        <f t="shared" ref="K61" ca="1" si="70">IF(AND(YEAR($C$11)=$B59,MONTH($C$11)=K60),$C$4,J61-J64)</f>
        <v>0</v>
      </c>
      <c r="L61" s="368">
        <f t="shared" ref="L61" ca="1" si="71">IF(AND(YEAR($C$11)=$B59,MONTH($C$11)=L60),$C$4,K61-K64)</f>
        <v>0</v>
      </c>
      <c r="M61" s="368">
        <f t="shared" ref="M61" ca="1" si="72">IF(AND(YEAR($C$11)=$B59,MONTH($C$11)=M60),$C$4,L61-L64)</f>
        <v>0</v>
      </c>
      <c r="N61" s="368">
        <f t="shared" ref="N61" ca="1" si="73">IF(AND(YEAR($C$11)=$B59,MONTH($C$11)=N60),$C$4,M61-M64)</f>
        <v>0</v>
      </c>
      <c r="O61" s="369"/>
    </row>
    <row r="62" spans="2:15" x14ac:dyDescent="0.25">
      <c r="B62" s="259"/>
      <c r="C62" s="370">
        <f ca="1">C53+12</f>
        <v>54</v>
      </c>
      <c r="D62" s="370">
        <f t="shared" ref="D62:N62" ca="1" si="74">D53+12</f>
        <v>55</v>
      </c>
      <c r="E62" s="370">
        <f t="shared" ca="1" si="74"/>
        <v>56</v>
      </c>
      <c r="F62" s="370">
        <f t="shared" ca="1" si="74"/>
        <v>57</v>
      </c>
      <c r="G62" s="370">
        <f t="shared" ca="1" si="74"/>
        <v>58</v>
      </c>
      <c r="H62" s="370">
        <f t="shared" ca="1" si="74"/>
        <v>59</v>
      </c>
      <c r="I62" s="370">
        <f t="shared" ca="1" si="74"/>
        <v>60</v>
      </c>
      <c r="J62" s="370">
        <f t="shared" ca="1" si="74"/>
        <v>61</v>
      </c>
      <c r="K62" s="370">
        <f t="shared" ca="1" si="74"/>
        <v>62</v>
      </c>
      <c r="L62" s="370">
        <f t="shared" ca="1" si="74"/>
        <v>63</v>
      </c>
      <c r="M62" s="370">
        <f t="shared" ca="1" si="74"/>
        <v>64</v>
      </c>
      <c r="N62" s="370">
        <f t="shared" ca="1" si="74"/>
        <v>65</v>
      </c>
      <c r="O62" s="371"/>
    </row>
    <row r="63" spans="2:15" x14ac:dyDescent="0.25">
      <c r="B63" s="259" t="s">
        <v>99</v>
      </c>
      <c r="C63" s="368">
        <f t="shared" ref="C63:N63" ca="1" si="75">IF(C61&lt;0.001,0,($C$8/12)*C61)</f>
        <v>0</v>
      </c>
      <c r="D63" s="368">
        <f t="shared" ca="1" si="75"/>
        <v>0</v>
      </c>
      <c r="E63" s="368">
        <f t="shared" ca="1" si="75"/>
        <v>0</v>
      </c>
      <c r="F63" s="368">
        <f t="shared" ca="1" si="75"/>
        <v>0</v>
      </c>
      <c r="G63" s="368">
        <f t="shared" ca="1" si="75"/>
        <v>0</v>
      </c>
      <c r="H63" s="368">
        <f t="shared" ca="1" si="75"/>
        <v>0</v>
      </c>
      <c r="I63" s="368">
        <f t="shared" ca="1" si="75"/>
        <v>0</v>
      </c>
      <c r="J63" s="368">
        <f t="shared" ca="1" si="75"/>
        <v>0</v>
      </c>
      <c r="K63" s="368">
        <f t="shared" ca="1" si="75"/>
        <v>0</v>
      </c>
      <c r="L63" s="368">
        <f t="shared" ca="1" si="75"/>
        <v>0</v>
      </c>
      <c r="M63" s="368">
        <f t="shared" ca="1" si="75"/>
        <v>0</v>
      </c>
      <c r="N63" s="368">
        <f t="shared" ca="1" si="75"/>
        <v>0</v>
      </c>
      <c r="O63" s="369">
        <f ca="1">SUM(C63:N63)</f>
        <v>0</v>
      </c>
    </row>
    <row r="64" spans="2:15" x14ac:dyDescent="0.25">
      <c r="B64" s="259" t="s">
        <v>100</v>
      </c>
      <c r="C64" s="368">
        <f ca="1">IF(OR(C61&lt;0.001,YEAR($C$12)&gt;$B59,AND(YEAR($C$12)=$B59,MONTH($C$12)&gt;C60)),0,IF($C$10="Lineair",$C$9,IF($C$10="Annuïteit",IFERROR((C63/(1-(1+$C$8/12)^-($C$7-N53)))-C63,0),0)))</f>
        <v>0</v>
      </c>
      <c r="D64" s="368">
        <f t="shared" ref="D64:I64" ca="1" si="76">IF(OR(D61&lt;0.001,YEAR($C$12)&gt;$B59,AND(YEAR($C$12)=$B59,MONTH($C$12)&gt;D60)),0,IF($C$10="Lineair",$C$9,IF($C$10="Annuïteit",IFERROR((D63/(1-(1+$C$8/12)^-($C$7-C62)))-D63,0),0)))</f>
        <v>0</v>
      </c>
      <c r="E64" s="368">
        <f t="shared" ca="1" si="76"/>
        <v>0</v>
      </c>
      <c r="F64" s="368">
        <f t="shared" ca="1" si="76"/>
        <v>0</v>
      </c>
      <c r="G64" s="368">
        <f t="shared" ca="1" si="76"/>
        <v>0</v>
      </c>
      <c r="H64" s="368">
        <f t="shared" ca="1" si="76"/>
        <v>0</v>
      </c>
      <c r="I64" s="368">
        <f t="shared" ca="1" si="76"/>
        <v>0</v>
      </c>
      <c r="J64" s="368">
        <f t="shared" ref="J64" ca="1" si="77">IF(OR(J61&lt;0.001,YEAR($C$12)&gt;$B59,AND(YEAR($C$12)=$B59,MONTH($C$12)&gt;J60)),0,IF($C$10="Lineair",$C$9,IF($C$10="Annuïteit",IFERROR((J63/(1-(1+$C$8/12)^-($C$7-I62)))-J63,0),0)))</f>
        <v>0</v>
      </c>
      <c r="K64" s="368">
        <f t="shared" ref="K64" ca="1" si="78">IF(OR(K61&lt;0.001,YEAR($C$12)&gt;$B59,AND(YEAR($C$12)=$B59,MONTH($C$12)&gt;K60)),0,IF($C$10="Lineair",$C$9,IF($C$10="Annuïteit",IFERROR((K63/(1-(1+$C$8/12)^-($C$7-J62)))-K63,0),0)))</f>
        <v>0</v>
      </c>
      <c r="L64" s="368">
        <f t="shared" ref="L64" ca="1" si="79">IF(OR(L61&lt;0.001,YEAR($C$12)&gt;$B59,AND(YEAR($C$12)=$B59,MONTH($C$12)&gt;L60)),0,IF($C$10="Lineair",$C$9,IF($C$10="Annuïteit",IFERROR((L63/(1-(1+$C$8/12)^-($C$7-K62)))-L63,0),0)))</f>
        <v>0</v>
      </c>
      <c r="M64" s="368">
        <f t="shared" ref="M64" ca="1" si="80">IF(OR(M61&lt;0.001,YEAR($C$12)&gt;$B59,AND(YEAR($C$12)=$B59,MONTH($C$12)&gt;M60)),0,IF($C$10="Lineair",$C$9,IF($C$10="Annuïteit",IFERROR((M63/(1-(1+$C$8/12)^-($C$7-L62)))-M63,0),0)))</f>
        <v>0</v>
      </c>
      <c r="N64" s="368">
        <f t="shared" ref="N64" ca="1" si="81">IF(OR(N61&lt;0.001,YEAR($C$12)&gt;$B59,AND(YEAR($C$12)=$B59,MONTH($C$12)&gt;N60)),0,IF($C$10="Lineair",$C$9,IF($C$10="Annuïteit",IFERROR((N63/(1-(1+$C$8/12)^-($C$7-M62)))-N63,0),0)))</f>
        <v>0</v>
      </c>
      <c r="O64" s="369">
        <f ca="1">SUM(C64:N64)</f>
        <v>0</v>
      </c>
    </row>
    <row r="65" spans="2:15" x14ac:dyDescent="0.25">
      <c r="B65" s="256" t="s">
        <v>101</v>
      </c>
      <c r="C65" s="372">
        <f t="shared" ref="C65:N65" ca="1" si="82">IF(AND(YEAR($C$11)=$B59,MONTH($C$11)=C60),$C$5,0)</f>
        <v>0</v>
      </c>
      <c r="D65" s="372">
        <f t="shared" ca="1" si="82"/>
        <v>0</v>
      </c>
      <c r="E65" s="372">
        <f t="shared" ca="1" si="82"/>
        <v>0</v>
      </c>
      <c r="F65" s="372">
        <f t="shared" ca="1" si="82"/>
        <v>0</v>
      </c>
      <c r="G65" s="372">
        <f t="shared" ca="1" si="82"/>
        <v>0</v>
      </c>
      <c r="H65" s="372">
        <f t="shared" ca="1" si="82"/>
        <v>0</v>
      </c>
      <c r="I65" s="372">
        <f t="shared" ca="1" si="82"/>
        <v>0</v>
      </c>
      <c r="J65" s="372">
        <f t="shared" ca="1" si="82"/>
        <v>0</v>
      </c>
      <c r="K65" s="372">
        <f t="shared" ca="1" si="82"/>
        <v>0</v>
      </c>
      <c r="L65" s="372">
        <f t="shared" ca="1" si="82"/>
        <v>0</v>
      </c>
      <c r="M65" s="372">
        <f t="shared" ca="1" si="82"/>
        <v>0</v>
      </c>
      <c r="N65" s="372">
        <f t="shared" ca="1" si="82"/>
        <v>0</v>
      </c>
      <c r="O65" s="369">
        <f ca="1">SUM(C65:N65)</f>
        <v>0</v>
      </c>
    </row>
    <row r="66" spans="2:15" x14ac:dyDescent="0.25">
      <c r="B66" s="373" t="s">
        <v>102</v>
      </c>
      <c r="C66" s="374">
        <f t="shared" ref="C66:N66" ca="1" si="83">SUM(C63:C65)</f>
        <v>0</v>
      </c>
      <c r="D66" s="374">
        <f t="shared" ca="1" si="83"/>
        <v>0</v>
      </c>
      <c r="E66" s="374">
        <f t="shared" ca="1" si="83"/>
        <v>0</v>
      </c>
      <c r="F66" s="374">
        <f t="shared" ca="1" si="83"/>
        <v>0</v>
      </c>
      <c r="G66" s="374">
        <f t="shared" ca="1" si="83"/>
        <v>0</v>
      </c>
      <c r="H66" s="374">
        <f t="shared" ca="1" si="83"/>
        <v>0</v>
      </c>
      <c r="I66" s="374">
        <f t="shared" ca="1" si="83"/>
        <v>0</v>
      </c>
      <c r="J66" s="374">
        <f t="shared" ca="1" si="83"/>
        <v>0</v>
      </c>
      <c r="K66" s="374">
        <f t="shared" ca="1" si="83"/>
        <v>0</v>
      </c>
      <c r="L66" s="374">
        <f t="shared" ca="1" si="83"/>
        <v>0</v>
      </c>
      <c r="M66" s="374">
        <f t="shared" ca="1" si="83"/>
        <v>0</v>
      </c>
      <c r="N66" s="374">
        <f t="shared" ca="1" si="83"/>
        <v>0</v>
      </c>
      <c r="O66" s="369">
        <f ca="1">SUM(C66:N66)</f>
        <v>0</v>
      </c>
    </row>
    <row r="67" spans="2:15" x14ac:dyDescent="0.25">
      <c r="B67" s="75"/>
      <c r="C67" s="75"/>
      <c r="D67" s="75"/>
      <c r="E67" s="75"/>
      <c r="F67" s="75"/>
      <c r="G67" s="75"/>
      <c r="H67" s="75"/>
      <c r="I67" s="75"/>
      <c r="J67" s="75"/>
      <c r="K67" s="75"/>
      <c r="L67" s="75"/>
      <c r="M67" s="75"/>
      <c r="N67" s="75"/>
      <c r="O67" s="377"/>
    </row>
    <row r="68" spans="2:15" x14ac:dyDescent="0.25">
      <c r="B68" s="351">
        <f>B59+1</f>
        <v>2029</v>
      </c>
      <c r="C68" s="247" t="s">
        <v>181</v>
      </c>
      <c r="D68" s="247" t="s">
        <v>182</v>
      </c>
      <c r="E68" s="247" t="s">
        <v>183</v>
      </c>
      <c r="F68" s="247" t="s">
        <v>184</v>
      </c>
      <c r="G68" s="247" t="s">
        <v>185</v>
      </c>
      <c r="H68" s="247" t="s">
        <v>186</v>
      </c>
      <c r="I68" s="247" t="s">
        <v>187</v>
      </c>
      <c r="J68" s="247" t="s">
        <v>188</v>
      </c>
      <c r="K68" s="247" t="s">
        <v>189</v>
      </c>
      <c r="L68" s="247" t="s">
        <v>190</v>
      </c>
      <c r="M68" s="247" t="s">
        <v>191</v>
      </c>
      <c r="N68" s="247" t="s">
        <v>192</v>
      </c>
      <c r="O68" s="303" t="s">
        <v>408</v>
      </c>
    </row>
    <row r="69" spans="2:15" x14ac:dyDescent="0.25">
      <c r="B69" s="259"/>
      <c r="C69" s="301">
        <v>1</v>
      </c>
      <c r="D69" s="301">
        <v>2</v>
      </c>
      <c r="E69" s="301">
        <v>3</v>
      </c>
      <c r="F69" s="301">
        <v>4</v>
      </c>
      <c r="G69" s="301">
        <v>5</v>
      </c>
      <c r="H69" s="301">
        <v>6</v>
      </c>
      <c r="I69" s="301">
        <v>7</v>
      </c>
      <c r="J69" s="301">
        <v>8</v>
      </c>
      <c r="K69" s="301">
        <v>9</v>
      </c>
      <c r="L69" s="301">
        <v>10</v>
      </c>
      <c r="M69" s="301">
        <v>11</v>
      </c>
      <c r="N69" s="301">
        <v>12</v>
      </c>
      <c r="O69" s="302"/>
    </row>
    <row r="70" spans="2:15" x14ac:dyDescent="0.25">
      <c r="B70" s="259" t="s">
        <v>98</v>
      </c>
      <c r="C70" s="368">
        <f ca="1">IF(AND(YEAR($C$11)=$B68,MONTH($C$11)=C69),$C$4,N61-N64)</f>
        <v>0</v>
      </c>
      <c r="D70" s="368">
        <f t="shared" ref="D70:I70" ca="1" si="84">IF(AND(YEAR($C$11)=$B68,MONTH($C$11)=D69),$C$4,C70-C73)</f>
        <v>0</v>
      </c>
      <c r="E70" s="368">
        <f t="shared" ca="1" si="84"/>
        <v>0</v>
      </c>
      <c r="F70" s="368">
        <f t="shared" ca="1" si="84"/>
        <v>0</v>
      </c>
      <c r="G70" s="368">
        <f t="shared" ca="1" si="84"/>
        <v>0</v>
      </c>
      <c r="H70" s="368">
        <f t="shared" ca="1" si="84"/>
        <v>0</v>
      </c>
      <c r="I70" s="368">
        <f t="shared" ca="1" si="84"/>
        <v>0</v>
      </c>
      <c r="J70" s="368">
        <f t="shared" ref="J70" ca="1" si="85">IF(AND(YEAR($C$11)=$B68,MONTH($C$11)=J69),$C$4,I70-I73)</f>
        <v>0</v>
      </c>
      <c r="K70" s="368">
        <f t="shared" ref="K70" ca="1" si="86">IF(AND(YEAR($C$11)=$B68,MONTH($C$11)=K69),$C$4,J70-J73)</f>
        <v>0</v>
      </c>
      <c r="L70" s="368">
        <f t="shared" ref="L70" ca="1" si="87">IF(AND(YEAR($C$11)=$B68,MONTH($C$11)=L69),$C$4,K70-K73)</f>
        <v>0</v>
      </c>
      <c r="M70" s="368">
        <f t="shared" ref="M70" ca="1" si="88">IF(AND(YEAR($C$11)=$B68,MONTH($C$11)=M69),$C$4,L70-L73)</f>
        <v>0</v>
      </c>
      <c r="N70" s="368">
        <f t="shared" ref="N70" ca="1" si="89">IF(AND(YEAR($C$11)=$B68,MONTH($C$11)=N69),$C$4,M70-M73)</f>
        <v>0</v>
      </c>
      <c r="O70" s="369"/>
    </row>
    <row r="71" spans="2:15" x14ac:dyDescent="0.25">
      <c r="B71" s="259"/>
      <c r="C71" s="370">
        <f ca="1">C62+12</f>
        <v>66</v>
      </c>
      <c r="D71" s="370">
        <f t="shared" ref="D71:N71" ca="1" si="90">D62+12</f>
        <v>67</v>
      </c>
      <c r="E71" s="370">
        <f t="shared" ca="1" si="90"/>
        <v>68</v>
      </c>
      <c r="F71" s="370">
        <f t="shared" ca="1" si="90"/>
        <v>69</v>
      </c>
      <c r="G71" s="370">
        <f t="shared" ca="1" si="90"/>
        <v>70</v>
      </c>
      <c r="H71" s="370">
        <f t="shared" ca="1" si="90"/>
        <v>71</v>
      </c>
      <c r="I71" s="370">
        <f t="shared" ca="1" si="90"/>
        <v>72</v>
      </c>
      <c r="J71" s="370">
        <f t="shared" ca="1" si="90"/>
        <v>73</v>
      </c>
      <c r="K71" s="370">
        <f t="shared" ca="1" si="90"/>
        <v>74</v>
      </c>
      <c r="L71" s="370">
        <f t="shared" ca="1" si="90"/>
        <v>75</v>
      </c>
      <c r="M71" s="370">
        <f t="shared" ca="1" si="90"/>
        <v>76</v>
      </c>
      <c r="N71" s="370">
        <f t="shared" ca="1" si="90"/>
        <v>77</v>
      </c>
      <c r="O71" s="371"/>
    </row>
    <row r="72" spans="2:15" x14ac:dyDescent="0.25">
      <c r="B72" s="259" t="s">
        <v>99</v>
      </c>
      <c r="C72" s="368">
        <f t="shared" ref="C72:N72" ca="1" si="91">IF(C70&lt;0.001,0,($C$8/12)*C70)</f>
        <v>0</v>
      </c>
      <c r="D72" s="368">
        <f t="shared" ca="1" si="91"/>
        <v>0</v>
      </c>
      <c r="E72" s="368">
        <f t="shared" ca="1" si="91"/>
        <v>0</v>
      </c>
      <c r="F72" s="368">
        <f t="shared" ca="1" si="91"/>
        <v>0</v>
      </c>
      <c r="G72" s="368">
        <f t="shared" ca="1" si="91"/>
        <v>0</v>
      </c>
      <c r="H72" s="368">
        <f t="shared" ca="1" si="91"/>
        <v>0</v>
      </c>
      <c r="I72" s="368">
        <f t="shared" ca="1" si="91"/>
        <v>0</v>
      </c>
      <c r="J72" s="368">
        <f t="shared" ca="1" si="91"/>
        <v>0</v>
      </c>
      <c r="K72" s="368">
        <f t="shared" ca="1" si="91"/>
        <v>0</v>
      </c>
      <c r="L72" s="368">
        <f t="shared" ca="1" si="91"/>
        <v>0</v>
      </c>
      <c r="M72" s="368">
        <f t="shared" ca="1" si="91"/>
        <v>0</v>
      </c>
      <c r="N72" s="368">
        <f t="shared" ca="1" si="91"/>
        <v>0</v>
      </c>
      <c r="O72" s="369">
        <f ca="1">SUM(C72:N72)</f>
        <v>0</v>
      </c>
    </row>
    <row r="73" spans="2:15" x14ac:dyDescent="0.25">
      <c r="B73" s="259" t="s">
        <v>100</v>
      </c>
      <c r="C73" s="368">
        <f ca="1">IF(OR(C70&lt;0.001,YEAR($C$12)&gt;$B68,AND(YEAR($C$12)=$B68,MONTH($C$12)&gt;C69)),0,IF($C$10="Lineair",$C$9,IF($C$10="Annuïteit",IFERROR((C72/(1-(1+$C$8/12)^-($C$7-N62)))-C72,0),0)))</f>
        <v>0</v>
      </c>
      <c r="D73" s="368">
        <f t="shared" ref="D73:I73" ca="1" si="92">IF(OR(D70&lt;0.001,YEAR($C$12)&gt;$B68,AND(YEAR($C$12)=$B68,MONTH($C$12)&gt;D69)),0,IF($C$10="Lineair",$C$9,IF($C$10="Annuïteit",IFERROR((D72/(1-(1+$C$8/12)^-($C$7-C71)))-D72,0),0)))</f>
        <v>0</v>
      </c>
      <c r="E73" s="368">
        <f t="shared" ca="1" si="92"/>
        <v>0</v>
      </c>
      <c r="F73" s="368">
        <f t="shared" ca="1" si="92"/>
        <v>0</v>
      </c>
      <c r="G73" s="368">
        <f t="shared" ca="1" si="92"/>
        <v>0</v>
      </c>
      <c r="H73" s="368">
        <f t="shared" ca="1" si="92"/>
        <v>0</v>
      </c>
      <c r="I73" s="368">
        <f t="shared" ca="1" si="92"/>
        <v>0</v>
      </c>
      <c r="J73" s="368">
        <f t="shared" ref="J73" ca="1" si="93">IF(OR(J70&lt;0.001,YEAR($C$12)&gt;$B68,AND(YEAR($C$12)=$B68,MONTH($C$12)&gt;J69)),0,IF($C$10="Lineair",$C$9,IF($C$10="Annuïteit",IFERROR((J72/(1-(1+$C$8/12)^-($C$7-I71)))-J72,0),0)))</f>
        <v>0</v>
      </c>
      <c r="K73" s="368">
        <f t="shared" ref="K73" ca="1" si="94">IF(OR(K70&lt;0.001,YEAR($C$12)&gt;$B68,AND(YEAR($C$12)=$B68,MONTH($C$12)&gt;K69)),0,IF($C$10="Lineair",$C$9,IF($C$10="Annuïteit",IFERROR((K72/(1-(1+$C$8/12)^-($C$7-J71)))-K72,0),0)))</f>
        <v>0</v>
      </c>
      <c r="L73" s="368">
        <f t="shared" ref="L73" ca="1" si="95">IF(OR(L70&lt;0.001,YEAR($C$12)&gt;$B68,AND(YEAR($C$12)=$B68,MONTH($C$12)&gt;L69)),0,IF($C$10="Lineair",$C$9,IF($C$10="Annuïteit",IFERROR((L72/(1-(1+$C$8/12)^-($C$7-K71)))-L72,0),0)))</f>
        <v>0</v>
      </c>
      <c r="M73" s="368">
        <f t="shared" ref="M73" ca="1" si="96">IF(OR(M70&lt;0.001,YEAR($C$12)&gt;$B68,AND(YEAR($C$12)=$B68,MONTH($C$12)&gt;M69)),0,IF($C$10="Lineair",$C$9,IF($C$10="Annuïteit",IFERROR((M72/(1-(1+$C$8/12)^-($C$7-L71)))-M72,0),0)))</f>
        <v>0</v>
      </c>
      <c r="N73" s="368">
        <f t="shared" ref="N73" ca="1" si="97">IF(OR(N70&lt;0.001,YEAR($C$12)&gt;$B68,AND(YEAR($C$12)=$B68,MONTH($C$12)&gt;N69)),0,IF($C$10="Lineair",$C$9,IF($C$10="Annuïteit",IFERROR((N72/(1-(1+$C$8/12)^-($C$7-M71)))-N72,0),0)))</f>
        <v>0</v>
      </c>
      <c r="O73" s="369">
        <f ca="1">SUM(C73:N73)</f>
        <v>0</v>
      </c>
    </row>
    <row r="74" spans="2:15" x14ac:dyDescent="0.25">
      <c r="B74" s="256" t="s">
        <v>101</v>
      </c>
      <c r="C74" s="372">
        <f t="shared" ref="C74:N74" ca="1" si="98">IF(AND(YEAR($C$11)=$B68,MONTH($C$11)=C69),$C$5,0)</f>
        <v>0</v>
      </c>
      <c r="D74" s="372">
        <f t="shared" ca="1" si="98"/>
        <v>0</v>
      </c>
      <c r="E74" s="372">
        <f t="shared" ca="1" si="98"/>
        <v>0</v>
      </c>
      <c r="F74" s="372">
        <f t="shared" ca="1" si="98"/>
        <v>0</v>
      </c>
      <c r="G74" s="372">
        <f t="shared" ca="1" si="98"/>
        <v>0</v>
      </c>
      <c r="H74" s="372">
        <f t="shared" ca="1" si="98"/>
        <v>0</v>
      </c>
      <c r="I74" s="372">
        <f t="shared" ca="1" si="98"/>
        <v>0</v>
      </c>
      <c r="J74" s="372">
        <f t="shared" ca="1" si="98"/>
        <v>0</v>
      </c>
      <c r="K74" s="372">
        <f t="shared" ca="1" si="98"/>
        <v>0</v>
      </c>
      <c r="L74" s="372">
        <f t="shared" ca="1" si="98"/>
        <v>0</v>
      </c>
      <c r="M74" s="372">
        <f t="shared" ca="1" si="98"/>
        <v>0</v>
      </c>
      <c r="N74" s="372">
        <f t="shared" ca="1" si="98"/>
        <v>0</v>
      </c>
      <c r="O74" s="369">
        <f ca="1">SUM(C74:N74)</f>
        <v>0</v>
      </c>
    </row>
    <row r="75" spans="2:15" x14ac:dyDescent="0.25">
      <c r="B75" s="373" t="s">
        <v>102</v>
      </c>
      <c r="C75" s="374">
        <f t="shared" ref="C75:N75" ca="1" si="99">SUM(C72:C74)</f>
        <v>0</v>
      </c>
      <c r="D75" s="374">
        <f t="shared" ca="1" si="99"/>
        <v>0</v>
      </c>
      <c r="E75" s="374">
        <f t="shared" ca="1" si="99"/>
        <v>0</v>
      </c>
      <c r="F75" s="374">
        <f t="shared" ca="1" si="99"/>
        <v>0</v>
      </c>
      <c r="G75" s="374">
        <f t="shared" ca="1" si="99"/>
        <v>0</v>
      </c>
      <c r="H75" s="374">
        <f t="shared" ca="1" si="99"/>
        <v>0</v>
      </c>
      <c r="I75" s="374">
        <f t="shared" ca="1" si="99"/>
        <v>0</v>
      </c>
      <c r="J75" s="374">
        <f t="shared" ca="1" si="99"/>
        <v>0</v>
      </c>
      <c r="K75" s="374">
        <f t="shared" ca="1" si="99"/>
        <v>0</v>
      </c>
      <c r="L75" s="374">
        <f t="shared" ca="1" si="99"/>
        <v>0</v>
      </c>
      <c r="M75" s="374">
        <f t="shared" ca="1" si="99"/>
        <v>0</v>
      </c>
      <c r="N75" s="374">
        <f t="shared" ca="1" si="99"/>
        <v>0</v>
      </c>
      <c r="O75" s="369">
        <f ca="1">SUM(C75:N75)</f>
        <v>0</v>
      </c>
    </row>
    <row r="76" spans="2:15" x14ac:dyDescent="0.25">
      <c r="B76" s="75"/>
      <c r="C76" s="75"/>
      <c r="D76" s="75"/>
      <c r="E76" s="75"/>
      <c r="F76" s="75"/>
      <c r="G76" s="75"/>
      <c r="H76" s="75"/>
      <c r="I76" s="75"/>
      <c r="J76" s="75"/>
      <c r="K76" s="75"/>
      <c r="L76" s="75"/>
      <c r="M76" s="75"/>
      <c r="N76" s="75"/>
      <c r="O76" s="377"/>
    </row>
    <row r="77" spans="2:15" x14ac:dyDescent="0.25">
      <c r="B77" s="351">
        <f>B68+1</f>
        <v>2030</v>
      </c>
      <c r="C77" s="247" t="s">
        <v>181</v>
      </c>
      <c r="D77" s="247" t="s">
        <v>182</v>
      </c>
      <c r="E77" s="247" t="s">
        <v>183</v>
      </c>
      <c r="F77" s="247" t="s">
        <v>184</v>
      </c>
      <c r="G77" s="247" t="s">
        <v>185</v>
      </c>
      <c r="H77" s="247" t="s">
        <v>186</v>
      </c>
      <c r="I77" s="247" t="s">
        <v>187</v>
      </c>
      <c r="J77" s="247" t="s">
        <v>188</v>
      </c>
      <c r="K77" s="247" t="s">
        <v>189</v>
      </c>
      <c r="L77" s="247" t="s">
        <v>190</v>
      </c>
      <c r="M77" s="247" t="s">
        <v>191</v>
      </c>
      <c r="N77" s="247" t="s">
        <v>192</v>
      </c>
      <c r="O77" s="303" t="s">
        <v>408</v>
      </c>
    </row>
    <row r="78" spans="2:15" x14ac:dyDescent="0.25">
      <c r="B78" s="259"/>
      <c r="C78" s="301">
        <v>1</v>
      </c>
      <c r="D78" s="301">
        <v>2</v>
      </c>
      <c r="E78" s="301">
        <v>3</v>
      </c>
      <c r="F78" s="301">
        <v>4</v>
      </c>
      <c r="G78" s="301">
        <v>5</v>
      </c>
      <c r="H78" s="301">
        <v>6</v>
      </c>
      <c r="I78" s="301">
        <v>7</v>
      </c>
      <c r="J78" s="301">
        <v>8</v>
      </c>
      <c r="K78" s="301">
        <v>9</v>
      </c>
      <c r="L78" s="301">
        <v>10</v>
      </c>
      <c r="M78" s="301">
        <v>11</v>
      </c>
      <c r="N78" s="301">
        <v>12</v>
      </c>
      <c r="O78" s="302"/>
    </row>
    <row r="79" spans="2:15" x14ac:dyDescent="0.25">
      <c r="B79" s="259" t="s">
        <v>98</v>
      </c>
      <c r="C79" s="368">
        <f ca="1">IF(AND(YEAR($C$11)=$B77,MONTH($C$11)=C78),$C$4,N70-N73)</f>
        <v>0</v>
      </c>
      <c r="D79" s="368">
        <f t="shared" ref="D79:I79" ca="1" si="100">IF(AND(YEAR($C$11)=$B77,MONTH($C$11)=D78),$C$4,C79-C82)</f>
        <v>0</v>
      </c>
      <c r="E79" s="368">
        <f t="shared" ca="1" si="100"/>
        <v>0</v>
      </c>
      <c r="F79" s="368">
        <f t="shared" ca="1" si="100"/>
        <v>0</v>
      </c>
      <c r="G79" s="368">
        <f t="shared" ca="1" si="100"/>
        <v>0</v>
      </c>
      <c r="H79" s="368">
        <f t="shared" ca="1" si="100"/>
        <v>0</v>
      </c>
      <c r="I79" s="368">
        <f t="shared" ca="1" si="100"/>
        <v>0</v>
      </c>
      <c r="J79" s="368">
        <f t="shared" ref="J79" ca="1" si="101">IF(AND(YEAR($C$11)=$B77,MONTH($C$11)=J78),$C$4,I79-I82)</f>
        <v>0</v>
      </c>
      <c r="K79" s="368">
        <f t="shared" ref="K79" ca="1" si="102">IF(AND(YEAR($C$11)=$B77,MONTH($C$11)=K78),$C$4,J79-J82)</f>
        <v>0</v>
      </c>
      <c r="L79" s="368">
        <f t="shared" ref="L79" ca="1" si="103">IF(AND(YEAR($C$11)=$B77,MONTH($C$11)=L78),$C$4,K79-K82)</f>
        <v>0</v>
      </c>
      <c r="M79" s="368">
        <f t="shared" ref="M79" ca="1" si="104">IF(AND(YEAR($C$11)=$B77,MONTH($C$11)=M78),$C$4,L79-L82)</f>
        <v>0</v>
      </c>
      <c r="N79" s="368">
        <f t="shared" ref="N79" ca="1" si="105">IF(AND(YEAR($C$11)=$B77,MONTH($C$11)=N78),$C$4,M79-M82)</f>
        <v>0</v>
      </c>
      <c r="O79" s="369"/>
    </row>
    <row r="80" spans="2:15" x14ac:dyDescent="0.25">
      <c r="B80" s="259"/>
      <c r="C80" s="370">
        <f ca="1">C71+12</f>
        <v>78</v>
      </c>
      <c r="D80" s="370">
        <f t="shared" ref="D80:N80" ca="1" si="106">D71+12</f>
        <v>79</v>
      </c>
      <c r="E80" s="370">
        <f t="shared" ca="1" si="106"/>
        <v>80</v>
      </c>
      <c r="F80" s="370">
        <f t="shared" ca="1" si="106"/>
        <v>81</v>
      </c>
      <c r="G80" s="370">
        <f t="shared" ca="1" si="106"/>
        <v>82</v>
      </c>
      <c r="H80" s="370">
        <f t="shared" ca="1" si="106"/>
        <v>83</v>
      </c>
      <c r="I80" s="370">
        <f t="shared" ca="1" si="106"/>
        <v>84</v>
      </c>
      <c r="J80" s="370">
        <f t="shared" ca="1" si="106"/>
        <v>85</v>
      </c>
      <c r="K80" s="370">
        <f t="shared" ca="1" si="106"/>
        <v>86</v>
      </c>
      <c r="L80" s="370">
        <f t="shared" ca="1" si="106"/>
        <v>87</v>
      </c>
      <c r="M80" s="370">
        <f t="shared" ca="1" si="106"/>
        <v>88</v>
      </c>
      <c r="N80" s="370">
        <f t="shared" ca="1" si="106"/>
        <v>89</v>
      </c>
      <c r="O80" s="371"/>
    </row>
    <row r="81" spans="1:17" x14ac:dyDescent="0.25">
      <c r="B81" s="259" t="s">
        <v>99</v>
      </c>
      <c r="C81" s="368">
        <f t="shared" ref="C81:N81" ca="1" si="107">IF(C79&lt;0.001,0,($C$8/12)*C79)</f>
        <v>0</v>
      </c>
      <c r="D81" s="368">
        <f t="shared" ca="1" si="107"/>
        <v>0</v>
      </c>
      <c r="E81" s="368">
        <f t="shared" ca="1" si="107"/>
        <v>0</v>
      </c>
      <c r="F81" s="368">
        <f t="shared" ca="1" si="107"/>
        <v>0</v>
      </c>
      <c r="G81" s="368">
        <f t="shared" ca="1" si="107"/>
        <v>0</v>
      </c>
      <c r="H81" s="368">
        <f t="shared" ca="1" si="107"/>
        <v>0</v>
      </c>
      <c r="I81" s="368">
        <f t="shared" ca="1" si="107"/>
        <v>0</v>
      </c>
      <c r="J81" s="368">
        <f t="shared" ca="1" si="107"/>
        <v>0</v>
      </c>
      <c r="K81" s="368">
        <f t="shared" ca="1" si="107"/>
        <v>0</v>
      </c>
      <c r="L81" s="368">
        <f t="shared" ca="1" si="107"/>
        <v>0</v>
      </c>
      <c r="M81" s="368">
        <f t="shared" ca="1" si="107"/>
        <v>0</v>
      </c>
      <c r="N81" s="368">
        <f t="shared" ca="1" si="107"/>
        <v>0</v>
      </c>
      <c r="O81" s="369">
        <f ca="1">SUM(C81:N81)</f>
        <v>0</v>
      </c>
    </row>
    <row r="82" spans="1:17" x14ac:dyDescent="0.25">
      <c r="B82" s="259" t="s">
        <v>100</v>
      </c>
      <c r="C82" s="368">
        <f ca="1">IF(OR(C79&lt;0.001,YEAR($C$12)&gt;$B77,AND(YEAR($C$12)=$B77,MONTH($C$12)&gt;C78)),0,IF($C$10="Lineair",$C$9,IF($C$10="Annuïteit",IFERROR((C81/(1-(1+$C$8/12)^-($C$7-N71)))-C81,0),0)))</f>
        <v>0</v>
      </c>
      <c r="D82" s="368">
        <f t="shared" ref="D82:I82" ca="1" si="108">IF(OR(D79&lt;0.001,YEAR($C$12)&gt;$B77,AND(YEAR($C$12)=$B77,MONTH($C$12)&gt;D78)),0,IF($C$10="Lineair",$C$9,IF($C$10="Annuïteit",IFERROR((D81/(1-(1+$C$8/12)^-($C$7-C80)))-D81,0),0)))</f>
        <v>0</v>
      </c>
      <c r="E82" s="368">
        <f t="shared" ca="1" si="108"/>
        <v>0</v>
      </c>
      <c r="F82" s="368">
        <f t="shared" ca="1" si="108"/>
        <v>0</v>
      </c>
      <c r="G82" s="368">
        <f t="shared" ca="1" si="108"/>
        <v>0</v>
      </c>
      <c r="H82" s="368">
        <f t="shared" ca="1" si="108"/>
        <v>0</v>
      </c>
      <c r="I82" s="368">
        <f t="shared" ca="1" si="108"/>
        <v>0</v>
      </c>
      <c r="J82" s="368">
        <f t="shared" ref="J82" ca="1" si="109">IF(OR(J79&lt;0.001,YEAR($C$12)&gt;$B77,AND(YEAR($C$12)=$B77,MONTH($C$12)&gt;J78)),0,IF($C$10="Lineair",$C$9,IF($C$10="Annuïteit",IFERROR((J81/(1-(1+$C$8/12)^-($C$7-I80)))-J81,0),0)))</f>
        <v>0</v>
      </c>
      <c r="K82" s="368">
        <f t="shared" ref="K82" ca="1" si="110">IF(OR(K79&lt;0.001,YEAR($C$12)&gt;$B77,AND(YEAR($C$12)=$B77,MONTH($C$12)&gt;K78)),0,IF($C$10="Lineair",$C$9,IF($C$10="Annuïteit",IFERROR((K81/(1-(1+$C$8/12)^-($C$7-J80)))-K81,0),0)))</f>
        <v>0</v>
      </c>
      <c r="L82" s="368">
        <f t="shared" ref="L82" ca="1" si="111">IF(OR(L79&lt;0.001,YEAR($C$12)&gt;$B77,AND(YEAR($C$12)=$B77,MONTH($C$12)&gt;L78)),0,IF($C$10="Lineair",$C$9,IF($C$10="Annuïteit",IFERROR((L81/(1-(1+$C$8/12)^-($C$7-K80)))-L81,0),0)))</f>
        <v>0</v>
      </c>
      <c r="M82" s="368">
        <f t="shared" ref="M82" ca="1" si="112">IF(OR(M79&lt;0.001,YEAR($C$12)&gt;$B77,AND(YEAR($C$12)=$B77,MONTH($C$12)&gt;M78)),0,IF($C$10="Lineair",$C$9,IF($C$10="Annuïteit",IFERROR((M81/(1-(1+$C$8/12)^-($C$7-L80)))-M81,0),0)))</f>
        <v>0</v>
      </c>
      <c r="N82" s="368">
        <f t="shared" ref="N82" ca="1" si="113">IF(OR(N79&lt;0.001,YEAR($C$12)&gt;$B77,AND(YEAR($C$12)=$B77,MONTH($C$12)&gt;N78)),0,IF($C$10="Lineair",$C$9,IF($C$10="Annuïteit",IFERROR((N81/(1-(1+$C$8/12)^-($C$7-M80)))-N81,0),0)))</f>
        <v>0</v>
      </c>
      <c r="O82" s="369">
        <f ca="1">SUM(C82:N82)</f>
        <v>0</v>
      </c>
    </row>
    <row r="83" spans="1:17" x14ac:dyDescent="0.25">
      <c r="B83" s="256" t="s">
        <v>101</v>
      </c>
      <c r="C83" s="372">
        <f t="shared" ref="C83:N83" ca="1" si="114">IF(AND(YEAR($C$11)=$B77,MONTH($C$11)=C78),$C$5,0)</f>
        <v>0</v>
      </c>
      <c r="D83" s="372">
        <f t="shared" ca="1" si="114"/>
        <v>0</v>
      </c>
      <c r="E83" s="372">
        <f t="shared" ca="1" si="114"/>
        <v>0</v>
      </c>
      <c r="F83" s="372">
        <f t="shared" ca="1" si="114"/>
        <v>0</v>
      </c>
      <c r="G83" s="372">
        <f t="shared" ca="1" si="114"/>
        <v>0</v>
      </c>
      <c r="H83" s="372">
        <f t="shared" ca="1" si="114"/>
        <v>0</v>
      </c>
      <c r="I83" s="372">
        <f t="shared" ca="1" si="114"/>
        <v>0</v>
      </c>
      <c r="J83" s="372">
        <f t="shared" ca="1" si="114"/>
        <v>0</v>
      </c>
      <c r="K83" s="372">
        <f t="shared" ca="1" si="114"/>
        <v>0</v>
      </c>
      <c r="L83" s="372">
        <f t="shared" ca="1" si="114"/>
        <v>0</v>
      </c>
      <c r="M83" s="372">
        <f t="shared" ca="1" si="114"/>
        <v>0</v>
      </c>
      <c r="N83" s="372">
        <f t="shared" ca="1" si="114"/>
        <v>0</v>
      </c>
      <c r="O83" s="369">
        <f ca="1">SUM(C83:N83)</f>
        <v>0</v>
      </c>
    </row>
    <row r="84" spans="1:17" x14ac:dyDescent="0.25">
      <c r="B84" s="373" t="s">
        <v>102</v>
      </c>
      <c r="C84" s="374">
        <f t="shared" ref="C84:N84" ca="1" si="115">SUM(C81:C83)</f>
        <v>0</v>
      </c>
      <c r="D84" s="374">
        <f t="shared" ca="1" si="115"/>
        <v>0</v>
      </c>
      <c r="E84" s="374">
        <f t="shared" ca="1" si="115"/>
        <v>0</v>
      </c>
      <c r="F84" s="374">
        <f t="shared" ca="1" si="115"/>
        <v>0</v>
      </c>
      <c r="G84" s="374">
        <f t="shared" ca="1" si="115"/>
        <v>0</v>
      </c>
      <c r="H84" s="374">
        <f t="shared" ca="1" si="115"/>
        <v>0</v>
      </c>
      <c r="I84" s="374">
        <f t="shared" ca="1" si="115"/>
        <v>0</v>
      </c>
      <c r="J84" s="374">
        <f t="shared" ca="1" si="115"/>
        <v>0</v>
      </c>
      <c r="K84" s="374">
        <f t="shared" ca="1" si="115"/>
        <v>0</v>
      </c>
      <c r="L84" s="374">
        <f t="shared" ca="1" si="115"/>
        <v>0</v>
      </c>
      <c r="M84" s="374">
        <f t="shared" ca="1" si="115"/>
        <v>0</v>
      </c>
      <c r="N84" s="374">
        <f t="shared" ca="1" si="115"/>
        <v>0</v>
      </c>
      <c r="O84" s="369">
        <f ca="1">SUM(C84:N84)</f>
        <v>0</v>
      </c>
    </row>
    <row r="85" spans="1:17" x14ac:dyDescent="0.25">
      <c r="A85" s="75"/>
      <c r="B85" s="75"/>
      <c r="C85" s="75"/>
      <c r="D85" s="75"/>
      <c r="E85" s="75"/>
      <c r="F85" s="75"/>
      <c r="G85" s="75"/>
      <c r="H85" s="75"/>
      <c r="I85" s="75"/>
      <c r="J85" s="75"/>
      <c r="K85" s="75"/>
      <c r="L85" s="75"/>
      <c r="M85" s="75"/>
      <c r="N85" s="75"/>
      <c r="O85" s="75"/>
      <c r="P85" s="75"/>
      <c r="Q85" s="75"/>
    </row>
    <row r="86" spans="1:17" x14ac:dyDescent="0.25">
      <c r="B86" s="351">
        <f t="shared" ref="B86" si="116">B77+1</f>
        <v>2031</v>
      </c>
      <c r="C86" s="247" t="s">
        <v>181</v>
      </c>
      <c r="D86" s="247" t="s">
        <v>182</v>
      </c>
      <c r="E86" s="247" t="s">
        <v>183</v>
      </c>
      <c r="F86" s="247" t="s">
        <v>184</v>
      </c>
      <c r="G86" s="247" t="s">
        <v>185</v>
      </c>
      <c r="H86" s="247" t="s">
        <v>186</v>
      </c>
      <c r="I86" s="247" t="s">
        <v>187</v>
      </c>
      <c r="J86" s="247" t="s">
        <v>188</v>
      </c>
      <c r="K86" s="247" t="s">
        <v>189</v>
      </c>
      <c r="L86" s="247" t="s">
        <v>190</v>
      </c>
      <c r="M86" s="247" t="s">
        <v>191</v>
      </c>
      <c r="N86" s="247" t="s">
        <v>192</v>
      </c>
      <c r="O86" s="303" t="s">
        <v>408</v>
      </c>
    </row>
    <row r="87" spans="1:17" x14ac:dyDescent="0.25">
      <c r="B87" s="259"/>
      <c r="C87" s="301">
        <v>1</v>
      </c>
      <c r="D87" s="301">
        <v>2</v>
      </c>
      <c r="E87" s="301">
        <v>3</v>
      </c>
      <c r="F87" s="301">
        <v>4</v>
      </c>
      <c r="G87" s="301">
        <v>5</v>
      </c>
      <c r="H87" s="301">
        <v>6</v>
      </c>
      <c r="I87" s="301">
        <v>7</v>
      </c>
      <c r="J87" s="301">
        <v>8</v>
      </c>
      <c r="K87" s="301">
        <v>9</v>
      </c>
      <c r="L87" s="301">
        <v>10</v>
      </c>
      <c r="M87" s="301">
        <v>11</v>
      </c>
      <c r="N87" s="301">
        <v>12</v>
      </c>
      <c r="O87" s="302"/>
    </row>
    <row r="88" spans="1:17" x14ac:dyDescent="0.25">
      <c r="B88" s="259" t="s">
        <v>98</v>
      </c>
      <c r="C88" s="368">
        <f t="shared" ref="C88" ca="1" si="117">IF(AND(YEAR($C$11)=$B86,MONTH($C$11)=C87),$C$4,N79-N82)</f>
        <v>0</v>
      </c>
      <c r="D88" s="368">
        <f t="shared" ref="D88:I88" ca="1" si="118">IF(AND(YEAR($C$11)=$B86,MONTH($C$11)=D87),$C$4,C88-C91)</f>
        <v>0</v>
      </c>
      <c r="E88" s="368">
        <f t="shared" ca="1" si="118"/>
        <v>0</v>
      </c>
      <c r="F88" s="368">
        <f t="shared" ca="1" si="118"/>
        <v>0</v>
      </c>
      <c r="G88" s="368">
        <f t="shared" ca="1" si="118"/>
        <v>0</v>
      </c>
      <c r="H88" s="368">
        <f t="shared" ca="1" si="118"/>
        <v>0</v>
      </c>
      <c r="I88" s="368">
        <f t="shared" ca="1" si="118"/>
        <v>0</v>
      </c>
      <c r="J88" s="368">
        <f t="shared" ref="J88" ca="1" si="119">IF(AND(YEAR($C$11)=$B86,MONTH($C$11)=J87),$C$4,I88-I91)</f>
        <v>0</v>
      </c>
      <c r="K88" s="368">
        <f t="shared" ref="K88" ca="1" si="120">IF(AND(YEAR($C$11)=$B86,MONTH($C$11)=K87),$C$4,J88-J91)</f>
        <v>0</v>
      </c>
      <c r="L88" s="368">
        <f t="shared" ref="L88" ca="1" si="121">IF(AND(YEAR($C$11)=$B86,MONTH($C$11)=L87),$C$4,K88-K91)</f>
        <v>0</v>
      </c>
      <c r="M88" s="368">
        <f t="shared" ref="M88" ca="1" si="122">IF(AND(YEAR($C$11)=$B86,MONTH($C$11)=M87),$C$4,L88-L91)</f>
        <v>0</v>
      </c>
      <c r="N88" s="368">
        <f t="shared" ref="N88" ca="1" si="123">IF(AND(YEAR($C$11)=$B86,MONTH($C$11)=N87),$C$4,M88-M91)</f>
        <v>0</v>
      </c>
      <c r="O88" s="369"/>
    </row>
    <row r="89" spans="1:17" x14ac:dyDescent="0.25">
      <c r="B89" s="259"/>
      <c r="C89" s="370">
        <f t="shared" ref="C89:N89" ca="1" si="124">C80+12</f>
        <v>90</v>
      </c>
      <c r="D89" s="370">
        <f t="shared" ca="1" si="124"/>
        <v>91</v>
      </c>
      <c r="E89" s="370">
        <f t="shared" ca="1" si="124"/>
        <v>92</v>
      </c>
      <c r="F89" s="370">
        <f t="shared" ca="1" si="124"/>
        <v>93</v>
      </c>
      <c r="G89" s="370">
        <f t="shared" ca="1" si="124"/>
        <v>94</v>
      </c>
      <c r="H89" s="370">
        <f t="shared" ca="1" si="124"/>
        <v>95</v>
      </c>
      <c r="I89" s="370">
        <f t="shared" ca="1" si="124"/>
        <v>96</v>
      </c>
      <c r="J89" s="370">
        <f t="shared" ca="1" si="124"/>
        <v>97</v>
      </c>
      <c r="K89" s="370">
        <f t="shared" ca="1" si="124"/>
        <v>98</v>
      </c>
      <c r="L89" s="370">
        <f t="shared" ca="1" si="124"/>
        <v>99</v>
      </c>
      <c r="M89" s="370">
        <f t="shared" ca="1" si="124"/>
        <v>100</v>
      </c>
      <c r="N89" s="370">
        <f t="shared" ca="1" si="124"/>
        <v>101</v>
      </c>
      <c r="O89" s="371"/>
    </row>
    <row r="90" spans="1:17" x14ac:dyDescent="0.25">
      <c r="B90" s="259" t="s">
        <v>99</v>
      </c>
      <c r="C90" s="368">
        <f t="shared" ref="C90:N90" ca="1" si="125">IF(C88&lt;0.001,0,($C$8/12)*C88)</f>
        <v>0</v>
      </c>
      <c r="D90" s="368">
        <f t="shared" ca="1" si="125"/>
        <v>0</v>
      </c>
      <c r="E90" s="368">
        <f t="shared" ca="1" si="125"/>
        <v>0</v>
      </c>
      <c r="F90" s="368">
        <f t="shared" ca="1" si="125"/>
        <v>0</v>
      </c>
      <c r="G90" s="368">
        <f t="shared" ca="1" si="125"/>
        <v>0</v>
      </c>
      <c r="H90" s="368">
        <f t="shared" ca="1" si="125"/>
        <v>0</v>
      </c>
      <c r="I90" s="368">
        <f t="shared" ca="1" si="125"/>
        <v>0</v>
      </c>
      <c r="J90" s="368">
        <f t="shared" ca="1" si="125"/>
        <v>0</v>
      </c>
      <c r="K90" s="368">
        <f t="shared" ca="1" si="125"/>
        <v>0</v>
      </c>
      <c r="L90" s="368">
        <f t="shared" ca="1" si="125"/>
        <v>0</v>
      </c>
      <c r="M90" s="368">
        <f t="shared" ca="1" si="125"/>
        <v>0</v>
      </c>
      <c r="N90" s="368">
        <f t="shared" ca="1" si="125"/>
        <v>0</v>
      </c>
      <c r="O90" s="369">
        <f t="shared" ref="O90:O93" ca="1" si="126">SUM(C90:N90)</f>
        <v>0</v>
      </c>
    </row>
    <row r="91" spans="1:17" x14ac:dyDescent="0.25">
      <c r="B91" s="259" t="s">
        <v>100</v>
      </c>
      <c r="C91" s="368">
        <f t="shared" ref="C91" ca="1" si="127">IF(OR(C88&lt;0.001,YEAR($C$12)&gt;$B86,AND(YEAR($C$12)=$B86,MONTH($C$12)&gt;C87)),0,IF($C$10="Lineair",$C$9,IF($C$10="Annuïteit",IFERROR((C90/(1-(1+$C$8/12)^-($C$7-N80)))-C90,0),0)))</f>
        <v>0</v>
      </c>
      <c r="D91" s="368">
        <f t="shared" ref="D91:I91" ca="1" si="128">IF(OR(D88&lt;0.001,YEAR($C$12)&gt;$B86,AND(YEAR($C$12)=$B86,MONTH($C$12)&gt;D87)),0,IF($C$10="Lineair",$C$9,IF($C$10="Annuïteit",IFERROR((D90/(1-(1+$C$8/12)^-($C$7-C89)))-D90,0),0)))</f>
        <v>0</v>
      </c>
      <c r="E91" s="368">
        <f t="shared" ca="1" si="128"/>
        <v>0</v>
      </c>
      <c r="F91" s="368">
        <f t="shared" ca="1" si="128"/>
        <v>0</v>
      </c>
      <c r="G91" s="368">
        <f t="shared" ca="1" si="128"/>
        <v>0</v>
      </c>
      <c r="H91" s="368">
        <f t="shared" ca="1" si="128"/>
        <v>0</v>
      </c>
      <c r="I91" s="368">
        <f t="shared" ca="1" si="128"/>
        <v>0</v>
      </c>
      <c r="J91" s="368">
        <f t="shared" ref="J91" ca="1" si="129">IF(OR(J88&lt;0.001,YEAR($C$12)&gt;$B86,AND(YEAR($C$12)=$B86,MONTH($C$12)&gt;J87)),0,IF($C$10="Lineair",$C$9,IF($C$10="Annuïteit",IFERROR((J90/(1-(1+$C$8/12)^-($C$7-I89)))-J90,0),0)))</f>
        <v>0</v>
      </c>
      <c r="K91" s="368">
        <f t="shared" ref="K91" ca="1" si="130">IF(OR(K88&lt;0.001,YEAR($C$12)&gt;$B86,AND(YEAR($C$12)=$B86,MONTH($C$12)&gt;K87)),0,IF($C$10="Lineair",$C$9,IF($C$10="Annuïteit",IFERROR((K90/(1-(1+$C$8/12)^-($C$7-J89)))-K90,0),0)))</f>
        <v>0</v>
      </c>
      <c r="L91" s="368">
        <f t="shared" ref="L91" ca="1" si="131">IF(OR(L88&lt;0.001,YEAR($C$12)&gt;$B86,AND(YEAR($C$12)=$B86,MONTH($C$12)&gt;L87)),0,IF($C$10="Lineair",$C$9,IF($C$10="Annuïteit",IFERROR((L90/(1-(1+$C$8/12)^-($C$7-K89)))-L90,0),0)))</f>
        <v>0</v>
      </c>
      <c r="M91" s="368">
        <f t="shared" ref="M91" ca="1" si="132">IF(OR(M88&lt;0.001,YEAR($C$12)&gt;$B86,AND(YEAR($C$12)=$B86,MONTH($C$12)&gt;M87)),0,IF($C$10="Lineair",$C$9,IF($C$10="Annuïteit",IFERROR((M90/(1-(1+$C$8/12)^-($C$7-L89)))-M90,0),0)))</f>
        <v>0</v>
      </c>
      <c r="N91" s="368">
        <f t="shared" ref="N91" ca="1" si="133">IF(OR(N88&lt;0.001,YEAR($C$12)&gt;$B86,AND(YEAR($C$12)=$B86,MONTH($C$12)&gt;N87)),0,IF($C$10="Lineair",$C$9,IF($C$10="Annuïteit",IFERROR((N90/(1-(1+$C$8/12)^-($C$7-M89)))-N90,0),0)))</f>
        <v>0</v>
      </c>
      <c r="O91" s="369">
        <f t="shared" ca="1" si="126"/>
        <v>0</v>
      </c>
    </row>
    <row r="92" spans="1:17" x14ac:dyDescent="0.25">
      <c r="B92" s="256" t="s">
        <v>101</v>
      </c>
      <c r="C92" s="372">
        <f t="shared" ref="C92:N92" ca="1" si="134">IF(AND(YEAR($C$11)=$B86,MONTH($C$11)=C87),$C$5,0)</f>
        <v>0</v>
      </c>
      <c r="D92" s="372">
        <f t="shared" ca="1" si="134"/>
        <v>0</v>
      </c>
      <c r="E92" s="372">
        <f t="shared" ca="1" si="134"/>
        <v>0</v>
      </c>
      <c r="F92" s="372">
        <f t="shared" ca="1" si="134"/>
        <v>0</v>
      </c>
      <c r="G92" s="372">
        <f t="shared" ca="1" si="134"/>
        <v>0</v>
      </c>
      <c r="H92" s="372">
        <f t="shared" ca="1" si="134"/>
        <v>0</v>
      </c>
      <c r="I92" s="372">
        <f t="shared" ca="1" si="134"/>
        <v>0</v>
      </c>
      <c r="J92" s="372">
        <f t="shared" ca="1" si="134"/>
        <v>0</v>
      </c>
      <c r="K92" s="372">
        <f t="shared" ca="1" si="134"/>
        <v>0</v>
      </c>
      <c r="L92" s="372">
        <f t="shared" ca="1" si="134"/>
        <v>0</v>
      </c>
      <c r="M92" s="372">
        <f t="shared" ca="1" si="134"/>
        <v>0</v>
      </c>
      <c r="N92" s="372">
        <f t="shared" ca="1" si="134"/>
        <v>0</v>
      </c>
      <c r="O92" s="369">
        <f t="shared" ca="1" si="126"/>
        <v>0</v>
      </c>
    </row>
    <row r="93" spans="1:17" x14ac:dyDescent="0.25">
      <c r="B93" s="373" t="s">
        <v>102</v>
      </c>
      <c r="C93" s="374">
        <f t="shared" ref="C93:N93" ca="1" si="135">SUM(C90:C92)</f>
        <v>0</v>
      </c>
      <c r="D93" s="374">
        <f t="shared" ca="1" si="135"/>
        <v>0</v>
      </c>
      <c r="E93" s="374">
        <f t="shared" ca="1" si="135"/>
        <v>0</v>
      </c>
      <c r="F93" s="374">
        <f t="shared" ca="1" si="135"/>
        <v>0</v>
      </c>
      <c r="G93" s="374">
        <f t="shared" ca="1" si="135"/>
        <v>0</v>
      </c>
      <c r="H93" s="374">
        <f t="shared" ca="1" si="135"/>
        <v>0</v>
      </c>
      <c r="I93" s="374">
        <f t="shared" ca="1" si="135"/>
        <v>0</v>
      </c>
      <c r="J93" s="374">
        <f t="shared" ca="1" si="135"/>
        <v>0</v>
      </c>
      <c r="K93" s="374">
        <f t="shared" ca="1" si="135"/>
        <v>0</v>
      </c>
      <c r="L93" s="374">
        <f t="shared" ca="1" si="135"/>
        <v>0</v>
      </c>
      <c r="M93" s="374">
        <f t="shared" ca="1" si="135"/>
        <v>0</v>
      </c>
      <c r="N93" s="374">
        <f t="shared" ca="1" si="135"/>
        <v>0</v>
      </c>
      <c r="O93" s="369">
        <f t="shared" ca="1" si="126"/>
        <v>0</v>
      </c>
    </row>
    <row r="94" spans="1:17" x14ac:dyDescent="0.25">
      <c r="B94" s="75"/>
      <c r="C94" s="75"/>
      <c r="D94" s="75"/>
      <c r="E94" s="75"/>
      <c r="F94" s="75"/>
      <c r="G94" s="75"/>
      <c r="H94" s="75"/>
      <c r="I94" s="75"/>
      <c r="J94" s="75"/>
      <c r="K94" s="75"/>
      <c r="L94" s="75"/>
      <c r="M94" s="75"/>
      <c r="N94" s="75"/>
      <c r="O94" s="75"/>
    </row>
    <row r="95" spans="1:17" x14ac:dyDescent="0.25">
      <c r="B95" s="351">
        <f t="shared" ref="B95" si="136">B86+1</f>
        <v>2032</v>
      </c>
      <c r="C95" s="247" t="s">
        <v>181</v>
      </c>
      <c r="D95" s="247" t="s">
        <v>182</v>
      </c>
      <c r="E95" s="247" t="s">
        <v>183</v>
      </c>
      <c r="F95" s="247" t="s">
        <v>184</v>
      </c>
      <c r="G95" s="247" t="s">
        <v>185</v>
      </c>
      <c r="H95" s="247" t="s">
        <v>186</v>
      </c>
      <c r="I95" s="247" t="s">
        <v>187</v>
      </c>
      <c r="J95" s="247" t="s">
        <v>188</v>
      </c>
      <c r="K95" s="247" t="s">
        <v>189</v>
      </c>
      <c r="L95" s="247" t="s">
        <v>190</v>
      </c>
      <c r="M95" s="247" t="s">
        <v>191</v>
      </c>
      <c r="N95" s="247" t="s">
        <v>192</v>
      </c>
      <c r="O95" s="303" t="s">
        <v>408</v>
      </c>
    </row>
    <row r="96" spans="1:17" x14ac:dyDescent="0.25">
      <c r="B96" s="259"/>
      <c r="C96" s="301">
        <v>1</v>
      </c>
      <c r="D96" s="301">
        <v>2</v>
      </c>
      <c r="E96" s="301">
        <v>3</v>
      </c>
      <c r="F96" s="301">
        <v>4</v>
      </c>
      <c r="G96" s="301">
        <v>5</v>
      </c>
      <c r="H96" s="301">
        <v>6</v>
      </c>
      <c r="I96" s="301">
        <v>7</v>
      </c>
      <c r="J96" s="301">
        <v>8</v>
      </c>
      <c r="K96" s="301">
        <v>9</v>
      </c>
      <c r="L96" s="301">
        <v>10</v>
      </c>
      <c r="M96" s="301">
        <v>11</v>
      </c>
      <c r="N96" s="301">
        <v>12</v>
      </c>
      <c r="O96" s="302"/>
    </row>
    <row r="97" spans="2:15" x14ac:dyDescent="0.25">
      <c r="B97" s="259" t="s">
        <v>98</v>
      </c>
      <c r="C97" s="368">
        <f t="shared" ref="C97" ca="1" si="137">IF(AND(YEAR($C$11)=$B95,MONTH($C$11)=C96),$C$4,N88-N91)</f>
        <v>0</v>
      </c>
      <c r="D97" s="368">
        <f t="shared" ref="D97:I97" ca="1" si="138">IF(AND(YEAR($C$11)=$B95,MONTH($C$11)=D96),$C$4,C97-C100)</f>
        <v>0</v>
      </c>
      <c r="E97" s="368">
        <f t="shared" ca="1" si="138"/>
        <v>0</v>
      </c>
      <c r="F97" s="368">
        <f t="shared" ca="1" si="138"/>
        <v>0</v>
      </c>
      <c r="G97" s="368">
        <f t="shared" ca="1" si="138"/>
        <v>0</v>
      </c>
      <c r="H97" s="368">
        <f t="shared" ca="1" si="138"/>
        <v>0</v>
      </c>
      <c r="I97" s="368">
        <f t="shared" ca="1" si="138"/>
        <v>0</v>
      </c>
      <c r="J97" s="368">
        <f t="shared" ref="J97" ca="1" si="139">IF(AND(YEAR($C$11)=$B95,MONTH($C$11)=J96),$C$4,I97-I100)</f>
        <v>0</v>
      </c>
      <c r="K97" s="368">
        <f t="shared" ref="K97" ca="1" si="140">IF(AND(YEAR($C$11)=$B95,MONTH($C$11)=K96),$C$4,J97-J100)</f>
        <v>0</v>
      </c>
      <c r="L97" s="368">
        <f t="shared" ref="L97" ca="1" si="141">IF(AND(YEAR($C$11)=$B95,MONTH($C$11)=L96),$C$4,K97-K100)</f>
        <v>0</v>
      </c>
      <c r="M97" s="368">
        <f t="shared" ref="M97" ca="1" si="142">IF(AND(YEAR($C$11)=$B95,MONTH($C$11)=M96),$C$4,L97-L100)</f>
        <v>0</v>
      </c>
      <c r="N97" s="368">
        <f t="shared" ref="N97" ca="1" si="143">IF(AND(YEAR($C$11)=$B95,MONTH($C$11)=N96),$C$4,M97-M100)</f>
        <v>0</v>
      </c>
      <c r="O97" s="369"/>
    </row>
    <row r="98" spans="2:15" x14ac:dyDescent="0.25">
      <c r="B98" s="259"/>
      <c r="C98" s="370">
        <f t="shared" ref="C98:N98" ca="1" si="144">C89+12</f>
        <v>102</v>
      </c>
      <c r="D98" s="370">
        <f t="shared" ca="1" si="144"/>
        <v>103</v>
      </c>
      <c r="E98" s="370">
        <f t="shared" ca="1" si="144"/>
        <v>104</v>
      </c>
      <c r="F98" s="370">
        <f t="shared" ca="1" si="144"/>
        <v>105</v>
      </c>
      <c r="G98" s="370">
        <f t="shared" ca="1" si="144"/>
        <v>106</v>
      </c>
      <c r="H98" s="370">
        <f t="shared" ca="1" si="144"/>
        <v>107</v>
      </c>
      <c r="I98" s="370">
        <f t="shared" ca="1" si="144"/>
        <v>108</v>
      </c>
      <c r="J98" s="370">
        <f t="shared" ca="1" si="144"/>
        <v>109</v>
      </c>
      <c r="K98" s="370">
        <f t="shared" ca="1" si="144"/>
        <v>110</v>
      </c>
      <c r="L98" s="370">
        <f t="shared" ca="1" si="144"/>
        <v>111</v>
      </c>
      <c r="M98" s="370">
        <f t="shared" ca="1" si="144"/>
        <v>112</v>
      </c>
      <c r="N98" s="370">
        <f t="shared" ca="1" si="144"/>
        <v>113</v>
      </c>
      <c r="O98" s="371"/>
    </row>
    <row r="99" spans="2:15" x14ac:dyDescent="0.25">
      <c r="B99" s="259" t="s">
        <v>99</v>
      </c>
      <c r="C99" s="368">
        <f t="shared" ref="C99:N99" ca="1" si="145">IF(C97&lt;0.001,0,($C$8/12)*C97)</f>
        <v>0</v>
      </c>
      <c r="D99" s="368">
        <f t="shared" ca="1" si="145"/>
        <v>0</v>
      </c>
      <c r="E99" s="368">
        <f t="shared" ca="1" si="145"/>
        <v>0</v>
      </c>
      <c r="F99" s="368">
        <f t="shared" ca="1" si="145"/>
        <v>0</v>
      </c>
      <c r="G99" s="368">
        <f t="shared" ca="1" si="145"/>
        <v>0</v>
      </c>
      <c r="H99" s="368">
        <f t="shared" ca="1" si="145"/>
        <v>0</v>
      </c>
      <c r="I99" s="368">
        <f t="shared" ca="1" si="145"/>
        <v>0</v>
      </c>
      <c r="J99" s="368">
        <f t="shared" ca="1" si="145"/>
        <v>0</v>
      </c>
      <c r="K99" s="368">
        <f t="shared" ca="1" si="145"/>
        <v>0</v>
      </c>
      <c r="L99" s="368">
        <f t="shared" ca="1" si="145"/>
        <v>0</v>
      </c>
      <c r="M99" s="368">
        <f t="shared" ca="1" si="145"/>
        <v>0</v>
      </c>
      <c r="N99" s="368">
        <f t="shared" ca="1" si="145"/>
        <v>0</v>
      </c>
      <c r="O99" s="369">
        <f t="shared" ref="O99:O102" ca="1" si="146">SUM(C99:N99)</f>
        <v>0</v>
      </c>
    </row>
    <row r="100" spans="2:15" x14ac:dyDescent="0.25">
      <c r="B100" s="259" t="s">
        <v>100</v>
      </c>
      <c r="C100" s="368">
        <f t="shared" ref="C100" ca="1" si="147">IF(OR(C97&lt;0.001,YEAR($C$12)&gt;$B95,AND(YEAR($C$12)=$B95,MONTH($C$12)&gt;C96)),0,IF($C$10="Lineair",$C$9,IF($C$10="Annuïteit",IFERROR((C99/(1-(1+$C$8/12)^-($C$7-N89)))-C99,0),0)))</f>
        <v>0</v>
      </c>
      <c r="D100" s="368">
        <f t="shared" ref="D100:I100" ca="1" si="148">IF(OR(D97&lt;0.001,YEAR($C$12)&gt;$B95,AND(YEAR($C$12)=$B95,MONTH($C$12)&gt;D96)),0,IF($C$10="Lineair",$C$9,IF($C$10="Annuïteit",IFERROR((D99/(1-(1+$C$8/12)^-($C$7-C98)))-D99,0),0)))</f>
        <v>0</v>
      </c>
      <c r="E100" s="368">
        <f t="shared" ca="1" si="148"/>
        <v>0</v>
      </c>
      <c r="F100" s="368">
        <f t="shared" ca="1" si="148"/>
        <v>0</v>
      </c>
      <c r="G100" s="368">
        <f t="shared" ca="1" si="148"/>
        <v>0</v>
      </c>
      <c r="H100" s="368">
        <f t="shared" ca="1" si="148"/>
        <v>0</v>
      </c>
      <c r="I100" s="368">
        <f t="shared" ca="1" si="148"/>
        <v>0</v>
      </c>
      <c r="J100" s="368">
        <f t="shared" ref="J100" ca="1" si="149">IF(OR(J97&lt;0.001,YEAR($C$12)&gt;$B95,AND(YEAR($C$12)=$B95,MONTH($C$12)&gt;J96)),0,IF($C$10="Lineair",$C$9,IF($C$10="Annuïteit",IFERROR((J99/(1-(1+$C$8/12)^-($C$7-I98)))-J99,0),0)))</f>
        <v>0</v>
      </c>
      <c r="K100" s="368">
        <f t="shared" ref="K100" ca="1" si="150">IF(OR(K97&lt;0.001,YEAR($C$12)&gt;$B95,AND(YEAR($C$12)=$B95,MONTH($C$12)&gt;K96)),0,IF($C$10="Lineair",$C$9,IF($C$10="Annuïteit",IFERROR((K99/(1-(1+$C$8/12)^-($C$7-J98)))-K99,0),0)))</f>
        <v>0</v>
      </c>
      <c r="L100" s="368">
        <f t="shared" ref="L100" ca="1" si="151">IF(OR(L97&lt;0.001,YEAR($C$12)&gt;$B95,AND(YEAR($C$12)=$B95,MONTH($C$12)&gt;L96)),0,IF($C$10="Lineair",$C$9,IF($C$10="Annuïteit",IFERROR((L99/(1-(1+$C$8/12)^-($C$7-K98)))-L99,0),0)))</f>
        <v>0</v>
      </c>
      <c r="M100" s="368">
        <f t="shared" ref="M100" ca="1" si="152">IF(OR(M97&lt;0.001,YEAR($C$12)&gt;$B95,AND(YEAR($C$12)=$B95,MONTH($C$12)&gt;M96)),0,IF($C$10="Lineair",$C$9,IF($C$10="Annuïteit",IFERROR((M99/(1-(1+$C$8/12)^-($C$7-L98)))-M99,0),0)))</f>
        <v>0</v>
      </c>
      <c r="N100" s="368">
        <f t="shared" ref="N100" ca="1" si="153">IF(OR(N97&lt;0.001,YEAR($C$12)&gt;$B95,AND(YEAR($C$12)=$B95,MONTH($C$12)&gt;N96)),0,IF($C$10="Lineair",$C$9,IF($C$10="Annuïteit",IFERROR((N99/(1-(1+$C$8/12)^-($C$7-M98)))-N99,0),0)))</f>
        <v>0</v>
      </c>
      <c r="O100" s="369">
        <f t="shared" ca="1" si="146"/>
        <v>0</v>
      </c>
    </row>
    <row r="101" spans="2:15" x14ac:dyDescent="0.25">
      <c r="B101" s="256" t="s">
        <v>101</v>
      </c>
      <c r="C101" s="372">
        <f t="shared" ref="C101:N101" ca="1" si="154">IF(AND(YEAR($C$11)=$B95,MONTH($C$11)=C96),$C$5,0)</f>
        <v>0</v>
      </c>
      <c r="D101" s="372">
        <f t="shared" ca="1" si="154"/>
        <v>0</v>
      </c>
      <c r="E101" s="372">
        <f t="shared" ca="1" si="154"/>
        <v>0</v>
      </c>
      <c r="F101" s="372">
        <f t="shared" ca="1" si="154"/>
        <v>0</v>
      </c>
      <c r="G101" s="372">
        <f t="shared" ca="1" si="154"/>
        <v>0</v>
      </c>
      <c r="H101" s="372">
        <f t="shared" ca="1" si="154"/>
        <v>0</v>
      </c>
      <c r="I101" s="372">
        <f t="shared" ca="1" si="154"/>
        <v>0</v>
      </c>
      <c r="J101" s="372">
        <f t="shared" ca="1" si="154"/>
        <v>0</v>
      </c>
      <c r="K101" s="372">
        <f t="shared" ca="1" si="154"/>
        <v>0</v>
      </c>
      <c r="L101" s="372">
        <f t="shared" ca="1" si="154"/>
        <v>0</v>
      </c>
      <c r="M101" s="372">
        <f t="shared" ca="1" si="154"/>
        <v>0</v>
      </c>
      <c r="N101" s="372">
        <f t="shared" ca="1" si="154"/>
        <v>0</v>
      </c>
      <c r="O101" s="369">
        <f t="shared" ca="1" si="146"/>
        <v>0</v>
      </c>
    </row>
    <row r="102" spans="2:15" x14ac:dyDescent="0.25">
      <c r="B102" s="373" t="s">
        <v>102</v>
      </c>
      <c r="C102" s="374">
        <f t="shared" ref="C102:N102" ca="1" si="155">SUM(C99:C101)</f>
        <v>0</v>
      </c>
      <c r="D102" s="374">
        <f t="shared" ca="1" si="155"/>
        <v>0</v>
      </c>
      <c r="E102" s="374">
        <f t="shared" ca="1" si="155"/>
        <v>0</v>
      </c>
      <c r="F102" s="374">
        <f t="shared" ca="1" si="155"/>
        <v>0</v>
      </c>
      <c r="G102" s="374">
        <f t="shared" ca="1" si="155"/>
        <v>0</v>
      </c>
      <c r="H102" s="374">
        <f t="shared" ca="1" si="155"/>
        <v>0</v>
      </c>
      <c r="I102" s="374">
        <f t="shared" ca="1" si="155"/>
        <v>0</v>
      </c>
      <c r="J102" s="374">
        <f t="shared" ca="1" si="155"/>
        <v>0</v>
      </c>
      <c r="K102" s="374">
        <f t="shared" ca="1" si="155"/>
        <v>0</v>
      </c>
      <c r="L102" s="374">
        <f t="shared" ca="1" si="155"/>
        <v>0</v>
      </c>
      <c r="M102" s="374">
        <f t="shared" ca="1" si="155"/>
        <v>0</v>
      </c>
      <c r="N102" s="374">
        <f t="shared" ca="1" si="155"/>
        <v>0</v>
      </c>
      <c r="O102" s="369">
        <f t="shared" ca="1" si="146"/>
        <v>0</v>
      </c>
    </row>
    <row r="103" spans="2:15" x14ac:dyDescent="0.25">
      <c r="B103" s="75"/>
      <c r="C103" s="75"/>
      <c r="D103" s="75"/>
      <c r="E103" s="75"/>
      <c r="F103" s="75"/>
      <c r="G103" s="75"/>
      <c r="H103" s="75"/>
      <c r="I103" s="75"/>
      <c r="J103" s="75"/>
      <c r="K103" s="75"/>
      <c r="L103" s="75"/>
      <c r="M103" s="75"/>
      <c r="N103" s="75"/>
      <c r="O103" s="75"/>
    </row>
    <row r="104" spans="2:15" x14ac:dyDescent="0.25">
      <c r="B104" s="351">
        <f t="shared" ref="B104" si="156">B95+1</f>
        <v>2033</v>
      </c>
      <c r="C104" s="247" t="s">
        <v>181</v>
      </c>
      <c r="D104" s="247" t="s">
        <v>182</v>
      </c>
      <c r="E104" s="247" t="s">
        <v>183</v>
      </c>
      <c r="F104" s="247" t="s">
        <v>184</v>
      </c>
      <c r="G104" s="247" t="s">
        <v>185</v>
      </c>
      <c r="H104" s="247" t="s">
        <v>186</v>
      </c>
      <c r="I104" s="247" t="s">
        <v>187</v>
      </c>
      <c r="J104" s="247" t="s">
        <v>188</v>
      </c>
      <c r="K104" s="247" t="s">
        <v>189</v>
      </c>
      <c r="L104" s="247" t="s">
        <v>190</v>
      </c>
      <c r="M104" s="247" t="s">
        <v>191</v>
      </c>
      <c r="N104" s="247" t="s">
        <v>192</v>
      </c>
      <c r="O104" s="303" t="s">
        <v>408</v>
      </c>
    </row>
    <row r="105" spans="2:15" x14ac:dyDescent="0.25">
      <c r="B105" s="259"/>
      <c r="C105" s="301">
        <v>1</v>
      </c>
      <c r="D105" s="301">
        <v>2</v>
      </c>
      <c r="E105" s="301">
        <v>3</v>
      </c>
      <c r="F105" s="301">
        <v>4</v>
      </c>
      <c r="G105" s="301">
        <v>5</v>
      </c>
      <c r="H105" s="301">
        <v>6</v>
      </c>
      <c r="I105" s="301">
        <v>7</v>
      </c>
      <c r="J105" s="301">
        <v>8</v>
      </c>
      <c r="K105" s="301">
        <v>9</v>
      </c>
      <c r="L105" s="301">
        <v>10</v>
      </c>
      <c r="M105" s="301">
        <v>11</v>
      </c>
      <c r="N105" s="301">
        <v>12</v>
      </c>
      <c r="O105" s="302"/>
    </row>
    <row r="106" spans="2:15" x14ac:dyDescent="0.25">
      <c r="B106" s="259" t="s">
        <v>98</v>
      </c>
      <c r="C106" s="368">
        <f t="shared" ref="C106" ca="1" si="157">IF(AND(YEAR($C$11)=$B104,MONTH($C$11)=C105),$C$4,N97-N100)</f>
        <v>0</v>
      </c>
      <c r="D106" s="368">
        <f t="shared" ref="D106:I106" ca="1" si="158">IF(AND(YEAR($C$11)=$B104,MONTH($C$11)=D105),$C$4,C106-C109)</f>
        <v>0</v>
      </c>
      <c r="E106" s="368">
        <f t="shared" ca="1" si="158"/>
        <v>0</v>
      </c>
      <c r="F106" s="368">
        <f t="shared" ca="1" si="158"/>
        <v>0</v>
      </c>
      <c r="G106" s="368">
        <f t="shared" ca="1" si="158"/>
        <v>0</v>
      </c>
      <c r="H106" s="368">
        <f t="shared" ca="1" si="158"/>
        <v>0</v>
      </c>
      <c r="I106" s="368">
        <f t="shared" ca="1" si="158"/>
        <v>0</v>
      </c>
      <c r="J106" s="368">
        <f t="shared" ref="J106" ca="1" si="159">IF(AND(YEAR($C$11)=$B104,MONTH($C$11)=J105),$C$4,I106-I109)</f>
        <v>0</v>
      </c>
      <c r="K106" s="368">
        <f t="shared" ref="K106" ca="1" si="160">IF(AND(YEAR($C$11)=$B104,MONTH($C$11)=K105),$C$4,J106-J109)</f>
        <v>0</v>
      </c>
      <c r="L106" s="368">
        <f t="shared" ref="L106" ca="1" si="161">IF(AND(YEAR($C$11)=$B104,MONTH($C$11)=L105),$C$4,K106-K109)</f>
        <v>0</v>
      </c>
      <c r="M106" s="368">
        <f t="shared" ref="M106" ca="1" si="162">IF(AND(YEAR($C$11)=$B104,MONTH($C$11)=M105),$C$4,L106-L109)</f>
        <v>0</v>
      </c>
      <c r="N106" s="368">
        <f t="shared" ref="N106" ca="1" si="163">IF(AND(YEAR($C$11)=$B104,MONTH($C$11)=N105),$C$4,M106-M109)</f>
        <v>0</v>
      </c>
      <c r="O106" s="369"/>
    </row>
    <row r="107" spans="2:15" x14ac:dyDescent="0.25">
      <c r="B107" s="259"/>
      <c r="C107" s="370">
        <f t="shared" ref="C107:N107" ca="1" si="164">C98+12</f>
        <v>114</v>
      </c>
      <c r="D107" s="370">
        <f t="shared" ca="1" si="164"/>
        <v>115</v>
      </c>
      <c r="E107" s="370">
        <f t="shared" ca="1" si="164"/>
        <v>116</v>
      </c>
      <c r="F107" s="370">
        <f t="shared" ca="1" si="164"/>
        <v>117</v>
      </c>
      <c r="G107" s="370">
        <f t="shared" ca="1" si="164"/>
        <v>118</v>
      </c>
      <c r="H107" s="370">
        <f t="shared" ca="1" si="164"/>
        <v>119</v>
      </c>
      <c r="I107" s="370">
        <f t="shared" ca="1" si="164"/>
        <v>120</v>
      </c>
      <c r="J107" s="370">
        <f t="shared" ca="1" si="164"/>
        <v>121</v>
      </c>
      <c r="K107" s="370">
        <f t="shared" ca="1" si="164"/>
        <v>122</v>
      </c>
      <c r="L107" s="370">
        <f t="shared" ca="1" si="164"/>
        <v>123</v>
      </c>
      <c r="M107" s="370">
        <f t="shared" ca="1" si="164"/>
        <v>124</v>
      </c>
      <c r="N107" s="370">
        <f t="shared" ca="1" si="164"/>
        <v>125</v>
      </c>
      <c r="O107" s="371"/>
    </row>
    <row r="108" spans="2:15" x14ac:dyDescent="0.25">
      <c r="B108" s="259" t="s">
        <v>99</v>
      </c>
      <c r="C108" s="368">
        <f t="shared" ref="C108:N108" ca="1" si="165">IF(C106&lt;0.001,0,($C$8/12)*C106)</f>
        <v>0</v>
      </c>
      <c r="D108" s="368">
        <f t="shared" ca="1" si="165"/>
        <v>0</v>
      </c>
      <c r="E108" s="368">
        <f t="shared" ca="1" si="165"/>
        <v>0</v>
      </c>
      <c r="F108" s="368">
        <f t="shared" ca="1" si="165"/>
        <v>0</v>
      </c>
      <c r="G108" s="368">
        <f t="shared" ca="1" si="165"/>
        <v>0</v>
      </c>
      <c r="H108" s="368">
        <f t="shared" ca="1" si="165"/>
        <v>0</v>
      </c>
      <c r="I108" s="368">
        <f t="shared" ca="1" si="165"/>
        <v>0</v>
      </c>
      <c r="J108" s="368">
        <f t="shared" ca="1" si="165"/>
        <v>0</v>
      </c>
      <c r="K108" s="368">
        <f t="shared" ca="1" si="165"/>
        <v>0</v>
      </c>
      <c r="L108" s="368">
        <f t="shared" ca="1" si="165"/>
        <v>0</v>
      </c>
      <c r="M108" s="368">
        <f t="shared" ca="1" si="165"/>
        <v>0</v>
      </c>
      <c r="N108" s="368">
        <f t="shared" ca="1" si="165"/>
        <v>0</v>
      </c>
      <c r="O108" s="369">
        <f t="shared" ref="O108:O111" ca="1" si="166">SUM(C108:N108)</f>
        <v>0</v>
      </c>
    </row>
    <row r="109" spans="2:15" x14ac:dyDescent="0.25">
      <c r="B109" s="259" t="s">
        <v>100</v>
      </c>
      <c r="C109" s="368">
        <f t="shared" ref="C109" ca="1" si="167">IF(OR(C106&lt;0.001,YEAR($C$12)&gt;$B104,AND(YEAR($C$12)=$B104,MONTH($C$12)&gt;C105)),0,IF($C$10="Lineair",$C$9,IF($C$10="Annuïteit",IFERROR((C108/(1-(1+$C$8/12)^-($C$7-N98)))-C108,0),0)))</f>
        <v>0</v>
      </c>
      <c r="D109" s="368">
        <f t="shared" ref="D109:I109" ca="1" si="168">IF(OR(D106&lt;0.001,YEAR($C$12)&gt;$B104,AND(YEAR($C$12)=$B104,MONTH($C$12)&gt;D105)),0,IF($C$10="Lineair",$C$9,IF($C$10="Annuïteit",IFERROR((D108/(1-(1+$C$8/12)^-($C$7-C107)))-D108,0),0)))</f>
        <v>0</v>
      </c>
      <c r="E109" s="368">
        <f t="shared" ca="1" si="168"/>
        <v>0</v>
      </c>
      <c r="F109" s="368">
        <f t="shared" ca="1" si="168"/>
        <v>0</v>
      </c>
      <c r="G109" s="368">
        <f t="shared" ca="1" si="168"/>
        <v>0</v>
      </c>
      <c r="H109" s="368">
        <f t="shared" ca="1" si="168"/>
        <v>0</v>
      </c>
      <c r="I109" s="368">
        <f t="shared" ca="1" si="168"/>
        <v>0</v>
      </c>
      <c r="J109" s="368">
        <f t="shared" ref="J109" ca="1" si="169">IF(OR(J106&lt;0.001,YEAR($C$12)&gt;$B104,AND(YEAR($C$12)=$B104,MONTH($C$12)&gt;J105)),0,IF($C$10="Lineair",$C$9,IF($C$10="Annuïteit",IFERROR((J108/(1-(1+$C$8/12)^-($C$7-I107)))-J108,0),0)))</f>
        <v>0</v>
      </c>
      <c r="K109" s="368">
        <f t="shared" ref="K109" ca="1" si="170">IF(OR(K106&lt;0.001,YEAR($C$12)&gt;$B104,AND(YEAR($C$12)=$B104,MONTH($C$12)&gt;K105)),0,IF($C$10="Lineair",$C$9,IF($C$10="Annuïteit",IFERROR((K108/(1-(1+$C$8/12)^-($C$7-J107)))-K108,0),0)))</f>
        <v>0</v>
      </c>
      <c r="L109" s="368">
        <f t="shared" ref="L109" ca="1" si="171">IF(OR(L106&lt;0.001,YEAR($C$12)&gt;$B104,AND(YEAR($C$12)=$B104,MONTH($C$12)&gt;L105)),0,IF($C$10="Lineair",$C$9,IF($C$10="Annuïteit",IFERROR((L108/(1-(1+$C$8/12)^-($C$7-K107)))-L108,0),0)))</f>
        <v>0</v>
      </c>
      <c r="M109" s="368">
        <f t="shared" ref="M109" ca="1" si="172">IF(OR(M106&lt;0.001,YEAR($C$12)&gt;$B104,AND(YEAR($C$12)=$B104,MONTH($C$12)&gt;M105)),0,IF($C$10="Lineair",$C$9,IF($C$10="Annuïteit",IFERROR((M108/(1-(1+$C$8/12)^-($C$7-L107)))-M108,0),0)))</f>
        <v>0</v>
      </c>
      <c r="N109" s="368">
        <f t="shared" ref="N109" ca="1" si="173">IF(OR(N106&lt;0.001,YEAR($C$12)&gt;$B104,AND(YEAR($C$12)=$B104,MONTH($C$12)&gt;N105)),0,IF($C$10="Lineair",$C$9,IF($C$10="Annuïteit",IFERROR((N108/(1-(1+$C$8/12)^-($C$7-M107)))-N108,0),0)))</f>
        <v>0</v>
      </c>
      <c r="O109" s="369">
        <f t="shared" ca="1" si="166"/>
        <v>0</v>
      </c>
    </row>
    <row r="110" spans="2:15" x14ac:dyDescent="0.25">
      <c r="B110" s="256" t="s">
        <v>101</v>
      </c>
      <c r="C110" s="372">
        <f t="shared" ref="C110:N110" ca="1" si="174">IF(AND(YEAR($C$11)=$B104,MONTH($C$11)=C105),$C$5,0)</f>
        <v>0</v>
      </c>
      <c r="D110" s="372">
        <f t="shared" ca="1" si="174"/>
        <v>0</v>
      </c>
      <c r="E110" s="372">
        <f t="shared" ca="1" si="174"/>
        <v>0</v>
      </c>
      <c r="F110" s="372">
        <f t="shared" ca="1" si="174"/>
        <v>0</v>
      </c>
      <c r="G110" s="372">
        <f t="shared" ca="1" si="174"/>
        <v>0</v>
      </c>
      <c r="H110" s="372">
        <f t="shared" ca="1" si="174"/>
        <v>0</v>
      </c>
      <c r="I110" s="372">
        <f t="shared" ca="1" si="174"/>
        <v>0</v>
      </c>
      <c r="J110" s="372">
        <f t="shared" ca="1" si="174"/>
        <v>0</v>
      </c>
      <c r="K110" s="372">
        <f t="shared" ca="1" si="174"/>
        <v>0</v>
      </c>
      <c r="L110" s="372">
        <f t="shared" ca="1" si="174"/>
        <v>0</v>
      </c>
      <c r="M110" s="372">
        <f t="shared" ca="1" si="174"/>
        <v>0</v>
      </c>
      <c r="N110" s="372">
        <f t="shared" ca="1" si="174"/>
        <v>0</v>
      </c>
      <c r="O110" s="369">
        <f t="shared" ca="1" si="166"/>
        <v>0</v>
      </c>
    </row>
    <row r="111" spans="2:15" x14ac:dyDescent="0.25">
      <c r="B111" s="373" t="s">
        <v>102</v>
      </c>
      <c r="C111" s="374">
        <f t="shared" ref="C111:N111" ca="1" si="175">SUM(C108:C110)</f>
        <v>0</v>
      </c>
      <c r="D111" s="374">
        <f t="shared" ca="1" si="175"/>
        <v>0</v>
      </c>
      <c r="E111" s="374">
        <f t="shared" ca="1" si="175"/>
        <v>0</v>
      </c>
      <c r="F111" s="374">
        <f t="shared" ca="1" si="175"/>
        <v>0</v>
      </c>
      <c r="G111" s="374">
        <f t="shared" ca="1" si="175"/>
        <v>0</v>
      </c>
      <c r="H111" s="374">
        <f t="shared" ca="1" si="175"/>
        <v>0</v>
      </c>
      <c r="I111" s="374">
        <f t="shared" ca="1" si="175"/>
        <v>0</v>
      </c>
      <c r="J111" s="374">
        <f t="shared" ca="1" si="175"/>
        <v>0</v>
      </c>
      <c r="K111" s="374">
        <f t="shared" ca="1" si="175"/>
        <v>0</v>
      </c>
      <c r="L111" s="374">
        <f t="shared" ca="1" si="175"/>
        <v>0</v>
      </c>
      <c r="M111" s="374">
        <f t="shared" ca="1" si="175"/>
        <v>0</v>
      </c>
      <c r="N111" s="374">
        <f t="shared" ca="1" si="175"/>
        <v>0</v>
      </c>
      <c r="O111" s="369">
        <f t="shared" ca="1" si="166"/>
        <v>0</v>
      </c>
    </row>
    <row r="112" spans="2:15" x14ac:dyDescent="0.25">
      <c r="B112" s="75"/>
      <c r="C112" s="75"/>
      <c r="D112" s="75"/>
      <c r="E112" s="75"/>
      <c r="F112" s="75"/>
      <c r="G112" s="75"/>
      <c r="H112" s="75"/>
      <c r="I112" s="75"/>
      <c r="J112" s="75"/>
      <c r="K112" s="75"/>
      <c r="L112" s="75"/>
      <c r="M112" s="75"/>
      <c r="N112" s="75"/>
      <c r="O112" s="75"/>
    </row>
    <row r="113" spans="2:15" x14ac:dyDescent="0.25">
      <c r="B113" s="351">
        <f t="shared" ref="B113" si="176">B104+1</f>
        <v>2034</v>
      </c>
      <c r="C113" s="247" t="s">
        <v>181</v>
      </c>
      <c r="D113" s="247" t="s">
        <v>182</v>
      </c>
      <c r="E113" s="247" t="s">
        <v>183</v>
      </c>
      <c r="F113" s="247" t="s">
        <v>184</v>
      </c>
      <c r="G113" s="247" t="s">
        <v>185</v>
      </c>
      <c r="H113" s="247" t="s">
        <v>186</v>
      </c>
      <c r="I113" s="247" t="s">
        <v>187</v>
      </c>
      <c r="J113" s="247" t="s">
        <v>188</v>
      </c>
      <c r="K113" s="247" t="s">
        <v>189</v>
      </c>
      <c r="L113" s="247" t="s">
        <v>190</v>
      </c>
      <c r="M113" s="247" t="s">
        <v>191</v>
      </c>
      <c r="N113" s="247" t="s">
        <v>192</v>
      </c>
      <c r="O113" s="303" t="s">
        <v>408</v>
      </c>
    </row>
    <row r="114" spans="2:15" x14ac:dyDescent="0.25">
      <c r="B114" s="259"/>
      <c r="C114" s="301">
        <v>1</v>
      </c>
      <c r="D114" s="301">
        <v>2</v>
      </c>
      <c r="E114" s="301">
        <v>3</v>
      </c>
      <c r="F114" s="301">
        <v>4</v>
      </c>
      <c r="G114" s="301">
        <v>5</v>
      </c>
      <c r="H114" s="301">
        <v>6</v>
      </c>
      <c r="I114" s="301">
        <v>7</v>
      </c>
      <c r="J114" s="301">
        <v>8</v>
      </c>
      <c r="K114" s="301">
        <v>9</v>
      </c>
      <c r="L114" s="301">
        <v>10</v>
      </c>
      <c r="M114" s="301">
        <v>11</v>
      </c>
      <c r="N114" s="301">
        <v>12</v>
      </c>
      <c r="O114" s="302"/>
    </row>
    <row r="115" spans="2:15" x14ac:dyDescent="0.25">
      <c r="B115" s="259" t="s">
        <v>98</v>
      </c>
      <c r="C115" s="368">
        <f t="shared" ref="C115" ca="1" si="177">IF(AND(YEAR($C$11)=$B113,MONTH($C$11)=C114),$C$4,N106-N109)</f>
        <v>0</v>
      </c>
      <c r="D115" s="368">
        <f t="shared" ref="D115:I115" ca="1" si="178">IF(AND(YEAR($C$11)=$B113,MONTH($C$11)=D114),$C$4,C115-C118)</f>
        <v>0</v>
      </c>
      <c r="E115" s="368">
        <f t="shared" ca="1" si="178"/>
        <v>0</v>
      </c>
      <c r="F115" s="368">
        <f t="shared" ca="1" si="178"/>
        <v>0</v>
      </c>
      <c r="G115" s="368">
        <f t="shared" ca="1" si="178"/>
        <v>0</v>
      </c>
      <c r="H115" s="368">
        <f t="shared" ca="1" si="178"/>
        <v>0</v>
      </c>
      <c r="I115" s="368">
        <f t="shared" ca="1" si="178"/>
        <v>0</v>
      </c>
      <c r="J115" s="368">
        <f t="shared" ref="J115" ca="1" si="179">IF(AND(YEAR($C$11)=$B113,MONTH($C$11)=J114),$C$4,I115-I118)</f>
        <v>0</v>
      </c>
      <c r="K115" s="368">
        <f t="shared" ref="K115" ca="1" si="180">IF(AND(YEAR($C$11)=$B113,MONTH($C$11)=K114),$C$4,J115-J118)</f>
        <v>0</v>
      </c>
      <c r="L115" s="368">
        <f t="shared" ref="L115" ca="1" si="181">IF(AND(YEAR($C$11)=$B113,MONTH($C$11)=L114),$C$4,K115-K118)</f>
        <v>0</v>
      </c>
      <c r="M115" s="368">
        <f t="shared" ref="M115" ca="1" si="182">IF(AND(YEAR($C$11)=$B113,MONTH($C$11)=M114),$C$4,L115-L118)</f>
        <v>0</v>
      </c>
      <c r="N115" s="368">
        <f t="shared" ref="N115" ca="1" si="183">IF(AND(YEAR($C$11)=$B113,MONTH($C$11)=N114),$C$4,M115-M118)</f>
        <v>0</v>
      </c>
      <c r="O115" s="369"/>
    </row>
    <row r="116" spans="2:15" x14ac:dyDescent="0.25">
      <c r="B116" s="259"/>
      <c r="C116" s="370">
        <f t="shared" ref="C116:N116" ca="1" si="184">C107+12</f>
        <v>126</v>
      </c>
      <c r="D116" s="370">
        <f t="shared" ca="1" si="184"/>
        <v>127</v>
      </c>
      <c r="E116" s="370">
        <f t="shared" ca="1" si="184"/>
        <v>128</v>
      </c>
      <c r="F116" s="370">
        <f t="shared" ca="1" si="184"/>
        <v>129</v>
      </c>
      <c r="G116" s="370">
        <f t="shared" ca="1" si="184"/>
        <v>130</v>
      </c>
      <c r="H116" s="370">
        <f t="shared" ca="1" si="184"/>
        <v>131</v>
      </c>
      <c r="I116" s="370">
        <f t="shared" ca="1" si="184"/>
        <v>132</v>
      </c>
      <c r="J116" s="370">
        <f t="shared" ca="1" si="184"/>
        <v>133</v>
      </c>
      <c r="K116" s="370">
        <f t="shared" ca="1" si="184"/>
        <v>134</v>
      </c>
      <c r="L116" s="370">
        <f t="shared" ca="1" si="184"/>
        <v>135</v>
      </c>
      <c r="M116" s="370">
        <f t="shared" ca="1" si="184"/>
        <v>136</v>
      </c>
      <c r="N116" s="370">
        <f t="shared" ca="1" si="184"/>
        <v>137</v>
      </c>
      <c r="O116" s="371"/>
    </row>
    <row r="117" spans="2:15" x14ac:dyDescent="0.25">
      <c r="B117" s="259" t="s">
        <v>99</v>
      </c>
      <c r="C117" s="368">
        <f t="shared" ref="C117:N117" ca="1" si="185">IF(C115&lt;0.001,0,($C$8/12)*C115)</f>
        <v>0</v>
      </c>
      <c r="D117" s="368">
        <f t="shared" ca="1" si="185"/>
        <v>0</v>
      </c>
      <c r="E117" s="368">
        <f t="shared" ca="1" si="185"/>
        <v>0</v>
      </c>
      <c r="F117" s="368">
        <f t="shared" ca="1" si="185"/>
        <v>0</v>
      </c>
      <c r="G117" s="368">
        <f t="shared" ca="1" si="185"/>
        <v>0</v>
      </c>
      <c r="H117" s="368">
        <f t="shared" ca="1" si="185"/>
        <v>0</v>
      </c>
      <c r="I117" s="368">
        <f t="shared" ca="1" si="185"/>
        <v>0</v>
      </c>
      <c r="J117" s="368">
        <f t="shared" ca="1" si="185"/>
        <v>0</v>
      </c>
      <c r="K117" s="368">
        <f t="shared" ca="1" si="185"/>
        <v>0</v>
      </c>
      <c r="L117" s="368">
        <f t="shared" ca="1" si="185"/>
        <v>0</v>
      </c>
      <c r="M117" s="368">
        <f t="shared" ca="1" si="185"/>
        <v>0</v>
      </c>
      <c r="N117" s="368">
        <f t="shared" ca="1" si="185"/>
        <v>0</v>
      </c>
      <c r="O117" s="369">
        <f t="shared" ref="O117:O120" ca="1" si="186">SUM(C117:N117)</f>
        <v>0</v>
      </c>
    </row>
    <row r="118" spans="2:15" x14ac:dyDescent="0.25">
      <c r="B118" s="259" t="s">
        <v>100</v>
      </c>
      <c r="C118" s="368">
        <f t="shared" ref="C118" ca="1" si="187">IF(OR(C115&lt;0.001,YEAR($C$12)&gt;$B113,AND(YEAR($C$12)=$B113,MONTH($C$12)&gt;C114)),0,IF($C$10="Lineair",$C$9,IF($C$10="Annuïteit",IFERROR((C117/(1-(1+$C$8/12)^-($C$7-N107)))-C117,0),0)))</f>
        <v>0</v>
      </c>
      <c r="D118" s="368">
        <f t="shared" ref="D118:I118" ca="1" si="188">IF(OR(D115&lt;0.001,YEAR($C$12)&gt;$B113,AND(YEAR($C$12)=$B113,MONTH($C$12)&gt;D114)),0,IF($C$10="Lineair",$C$9,IF($C$10="Annuïteit",IFERROR((D117/(1-(1+$C$8/12)^-($C$7-C116)))-D117,0),0)))</f>
        <v>0</v>
      </c>
      <c r="E118" s="368">
        <f t="shared" ca="1" si="188"/>
        <v>0</v>
      </c>
      <c r="F118" s="368">
        <f t="shared" ca="1" si="188"/>
        <v>0</v>
      </c>
      <c r="G118" s="368">
        <f t="shared" ca="1" si="188"/>
        <v>0</v>
      </c>
      <c r="H118" s="368">
        <f t="shared" ca="1" si="188"/>
        <v>0</v>
      </c>
      <c r="I118" s="368">
        <f t="shared" ca="1" si="188"/>
        <v>0</v>
      </c>
      <c r="J118" s="368">
        <f t="shared" ref="J118" ca="1" si="189">IF(OR(J115&lt;0.001,YEAR($C$12)&gt;$B113,AND(YEAR($C$12)=$B113,MONTH($C$12)&gt;J114)),0,IF($C$10="Lineair",$C$9,IF($C$10="Annuïteit",IFERROR((J117/(1-(1+$C$8/12)^-($C$7-I116)))-J117,0),0)))</f>
        <v>0</v>
      </c>
      <c r="K118" s="368">
        <f t="shared" ref="K118" ca="1" si="190">IF(OR(K115&lt;0.001,YEAR($C$12)&gt;$B113,AND(YEAR($C$12)=$B113,MONTH($C$12)&gt;K114)),0,IF($C$10="Lineair",$C$9,IF($C$10="Annuïteit",IFERROR((K117/(1-(1+$C$8/12)^-($C$7-J116)))-K117,0),0)))</f>
        <v>0</v>
      </c>
      <c r="L118" s="368">
        <f t="shared" ref="L118" ca="1" si="191">IF(OR(L115&lt;0.001,YEAR($C$12)&gt;$B113,AND(YEAR($C$12)=$B113,MONTH($C$12)&gt;L114)),0,IF($C$10="Lineair",$C$9,IF($C$10="Annuïteit",IFERROR((L117/(1-(1+$C$8/12)^-($C$7-K116)))-L117,0),0)))</f>
        <v>0</v>
      </c>
      <c r="M118" s="368">
        <f t="shared" ref="M118" ca="1" si="192">IF(OR(M115&lt;0.001,YEAR($C$12)&gt;$B113,AND(YEAR($C$12)=$B113,MONTH($C$12)&gt;M114)),0,IF($C$10="Lineair",$C$9,IF($C$10="Annuïteit",IFERROR((M117/(1-(1+$C$8/12)^-($C$7-L116)))-M117,0),0)))</f>
        <v>0</v>
      </c>
      <c r="N118" s="368">
        <f t="shared" ref="N118" ca="1" si="193">IF(OR(N115&lt;0.001,YEAR($C$12)&gt;$B113,AND(YEAR($C$12)=$B113,MONTH($C$12)&gt;N114)),0,IF($C$10="Lineair",$C$9,IF($C$10="Annuïteit",IFERROR((N117/(1-(1+$C$8/12)^-($C$7-M116)))-N117,0),0)))</f>
        <v>0</v>
      </c>
      <c r="O118" s="369">
        <f t="shared" ca="1" si="186"/>
        <v>0</v>
      </c>
    </row>
    <row r="119" spans="2:15" x14ac:dyDescent="0.25">
      <c r="B119" s="256" t="s">
        <v>101</v>
      </c>
      <c r="C119" s="372">
        <f t="shared" ref="C119:N119" ca="1" si="194">IF(AND(YEAR($C$11)=$B113,MONTH($C$11)=C114),$C$5,0)</f>
        <v>0</v>
      </c>
      <c r="D119" s="372">
        <f t="shared" ca="1" si="194"/>
        <v>0</v>
      </c>
      <c r="E119" s="372">
        <f t="shared" ca="1" si="194"/>
        <v>0</v>
      </c>
      <c r="F119" s="372">
        <f t="shared" ca="1" si="194"/>
        <v>0</v>
      </c>
      <c r="G119" s="372">
        <f t="shared" ca="1" si="194"/>
        <v>0</v>
      </c>
      <c r="H119" s="372">
        <f t="shared" ca="1" si="194"/>
        <v>0</v>
      </c>
      <c r="I119" s="372">
        <f t="shared" ca="1" si="194"/>
        <v>0</v>
      </c>
      <c r="J119" s="372">
        <f t="shared" ca="1" si="194"/>
        <v>0</v>
      </c>
      <c r="K119" s="372">
        <f t="shared" ca="1" si="194"/>
        <v>0</v>
      </c>
      <c r="L119" s="372">
        <f t="shared" ca="1" si="194"/>
        <v>0</v>
      </c>
      <c r="M119" s="372">
        <f t="shared" ca="1" si="194"/>
        <v>0</v>
      </c>
      <c r="N119" s="372">
        <f t="shared" ca="1" si="194"/>
        <v>0</v>
      </c>
      <c r="O119" s="369">
        <f t="shared" ca="1" si="186"/>
        <v>0</v>
      </c>
    </row>
    <row r="120" spans="2:15" x14ac:dyDescent="0.25">
      <c r="B120" s="373" t="s">
        <v>102</v>
      </c>
      <c r="C120" s="374">
        <f t="shared" ref="C120:N120" ca="1" si="195">SUM(C117:C119)</f>
        <v>0</v>
      </c>
      <c r="D120" s="374">
        <f t="shared" ca="1" si="195"/>
        <v>0</v>
      </c>
      <c r="E120" s="374">
        <f t="shared" ca="1" si="195"/>
        <v>0</v>
      </c>
      <c r="F120" s="374">
        <f t="shared" ca="1" si="195"/>
        <v>0</v>
      </c>
      <c r="G120" s="374">
        <f t="shared" ca="1" si="195"/>
        <v>0</v>
      </c>
      <c r="H120" s="374">
        <f t="shared" ca="1" si="195"/>
        <v>0</v>
      </c>
      <c r="I120" s="374">
        <f t="shared" ca="1" si="195"/>
        <v>0</v>
      </c>
      <c r="J120" s="374">
        <f t="shared" ca="1" si="195"/>
        <v>0</v>
      </c>
      <c r="K120" s="374">
        <f t="shared" ca="1" si="195"/>
        <v>0</v>
      </c>
      <c r="L120" s="374">
        <f t="shared" ca="1" si="195"/>
        <v>0</v>
      </c>
      <c r="M120" s="374">
        <f t="shared" ca="1" si="195"/>
        <v>0</v>
      </c>
      <c r="N120" s="374">
        <f t="shared" ca="1" si="195"/>
        <v>0</v>
      </c>
      <c r="O120" s="369">
        <f t="shared" ca="1" si="186"/>
        <v>0</v>
      </c>
    </row>
    <row r="121" spans="2:15" x14ac:dyDescent="0.25">
      <c r="B121" s="75"/>
      <c r="C121" s="75"/>
      <c r="D121" s="75"/>
      <c r="E121" s="75"/>
      <c r="F121" s="75"/>
      <c r="G121" s="75"/>
      <c r="H121" s="75"/>
      <c r="I121" s="75"/>
      <c r="J121" s="75"/>
      <c r="K121" s="75"/>
      <c r="L121" s="75"/>
      <c r="M121" s="75"/>
      <c r="N121" s="75"/>
      <c r="O121" s="75"/>
    </row>
    <row r="122" spans="2:15" x14ac:dyDescent="0.25">
      <c r="B122" s="351">
        <f t="shared" ref="B122" si="196">B113+1</f>
        <v>2035</v>
      </c>
      <c r="C122" s="247" t="s">
        <v>181</v>
      </c>
      <c r="D122" s="247" t="s">
        <v>182</v>
      </c>
      <c r="E122" s="247" t="s">
        <v>183</v>
      </c>
      <c r="F122" s="247" t="s">
        <v>184</v>
      </c>
      <c r="G122" s="247" t="s">
        <v>185</v>
      </c>
      <c r="H122" s="247" t="s">
        <v>186</v>
      </c>
      <c r="I122" s="247" t="s">
        <v>187</v>
      </c>
      <c r="J122" s="247" t="s">
        <v>188</v>
      </c>
      <c r="K122" s="247" t="s">
        <v>189</v>
      </c>
      <c r="L122" s="247" t="s">
        <v>190</v>
      </c>
      <c r="M122" s="247" t="s">
        <v>191</v>
      </c>
      <c r="N122" s="247" t="s">
        <v>192</v>
      </c>
      <c r="O122" s="303" t="s">
        <v>408</v>
      </c>
    </row>
    <row r="123" spans="2:15" x14ac:dyDescent="0.25">
      <c r="B123" s="259"/>
      <c r="C123" s="301">
        <v>1</v>
      </c>
      <c r="D123" s="301">
        <v>2</v>
      </c>
      <c r="E123" s="301">
        <v>3</v>
      </c>
      <c r="F123" s="301">
        <v>4</v>
      </c>
      <c r="G123" s="301">
        <v>5</v>
      </c>
      <c r="H123" s="301">
        <v>6</v>
      </c>
      <c r="I123" s="301">
        <v>7</v>
      </c>
      <c r="J123" s="301">
        <v>8</v>
      </c>
      <c r="K123" s="301">
        <v>9</v>
      </c>
      <c r="L123" s="301">
        <v>10</v>
      </c>
      <c r="M123" s="301">
        <v>11</v>
      </c>
      <c r="N123" s="301">
        <v>12</v>
      </c>
      <c r="O123" s="302"/>
    </row>
    <row r="124" spans="2:15" x14ac:dyDescent="0.25">
      <c r="B124" s="259" t="s">
        <v>98</v>
      </c>
      <c r="C124" s="368">
        <f t="shared" ref="C124" ca="1" si="197">IF(AND(YEAR($C$11)=$B122,MONTH($C$11)=C123),$C$4,N115-N118)</f>
        <v>0</v>
      </c>
      <c r="D124" s="368">
        <f t="shared" ref="D124:I124" ca="1" si="198">IF(AND(YEAR($C$11)=$B122,MONTH($C$11)=D123),$C$4,C124-C127)</f>
        <v>0</v>
      </c>
      <c r="E124" s="368">
        <f t="shared" ca="1" si="198"/>
        <v>0</v>
      </c>
      <c r="F124" s="368">
        <f t="shared" ca="1" si="198"/>
        <v>0</v>
      </c>
      <c r="G124" s="368">
        <f t="shared" ca="1" si="198"/>
        <v>0</v>
      </c>
      <c r="H124" s="368">
        <f t="shared" ca="1" si="198"/>
        <v>0</v>
      </c>
      <c r="I124" s="368">
        <f t="shared" ca="1" si="198"/>
        <v>0</v>
      </c>
      <c r="J124" s="368">
        <f t="shared" ref="J124" ca="1" si="199">IF(AND(YEAR($C$11)=$B122,MONTH($C$11)=J123),$C$4,I124-I127)</f>
        <v>0</v>
      </c>
      <c r="K124" s="368">
        <f t="shared" ref="K124" ca="1" si="200">IF(AND(YEAR($C$11)=$B122,MONTH($C$11)=K123),$C$4,J124-J127)</f>
        <v>0</v>
      </c>
      <c r="L124" s="368">
        <f t="shared" ref="L124" ca="1" si="201">IF(AND(YEAR($C$11)=$B122,MONTH($C$11)=L123),$C$4,K124-K127)</f>
        <v>0</v>
      </c>
      <c r="M124" s="368">
        <f t="shared" ref="M124" ca="1" si="202">IF(AND(YEAR($C$11)=$B122,MONTH($C$11)=M123),$C$4,L124-L127)</f>
        <v>0</v>
      </c>
      <c r="N124" s="368">
        <f t="shared" ref="N124" ca="1" si="203">IF(AND(YEAR($C$11)=$B122,MONTH($C$11)=N123),$C$4,M124-M127)</f>
        <v>0</v>
      </c>
      <c r="O124" s="369"/>
    </row>
    <row r="125" spans="2:15" x14ac:dyDescent="0.25">
      <c r="B125" s="259"/>
      <c r="C125" s="370">
        <f t="shared" ref="C125:N125" ca="1" si="204">C116+12</f>
        <v>138</v>
      </c>
      <c r="D125" s="370">
        <f t="shared" ca="1" si="204"/>
        <v>139</v>
      </c>
      <c r="E125" s="370">
        <f t="shared" ca="1" si="204"/>
        <v>140</v>
      </c>
      <c r="F125" s="370">
        <f t="shared" ca="1" si="204"/>
        <v>141</v>
      </c>
      <c r="G125" s="370">
        <f t="shared" ca="1" si="204"/>
        <v>142</v>
      </c>
      <c r="H125" s="370">
        <f t="shared" ca="1" si="204"/>
        <v>143</v>
      </c>
      <c r="I125" s="370">
        <f t="shared" ca="1" si="204"/>
        <v>144</v>
      </c>
      <c r="J125" s="370">
        <f t="shared" ca="1" si="204"/>
        <v>145</v>
      </c>
      <c r="K125" s="370">
        <f t="shared" ca="1" si="204"/>
        <v>146</v>
      </c>
      <c r="L125" s="370">
        <f t="shared" ca="1" si="204"/>
        <v>147</v>
      </c>
      <c r="M125" s="370">
        <f t="shared" ca="1" si="204"/>
        <v>148</v>
      </c>
      <c r="N125" s="370">
        <f t="shared" ca="1" si="204"/>
        <v>149</v>
      </c>
      <c r="O125" s="371"/>
    </row>
    <row r="126" spans="2:15" x14ac:dyDescent="0.25">
      <c r="B126" s="259" t="s">
        <v>99</v>
      </c>
      <c r="C126" s="368">
        <f t="shared" ref="C126:N126" ca="1" si="205">IF(C124&lt;0.001,0,($C$8/12)*C124)</f>
        <v>0</v>
      </c>
      <c r="D126" s="368">
        <f t="shared" ca="1" si="205"/>
        <v>0</v>
      </c>
      <c r="E126" s="368">
        <f t="shared" ca="1" si="205"/>
        <v>0</v>
      </c>
      <c r="F126" s="368">
        <f t="shared" ca="1" si="205"/>
        <v>0</v>
      </c>
      <c r="G126" s="368">
        <f t="shared" ca="1" si="205"/>
        <v>0</v>
      </c>
      <c r="H126" s="368">
        <f t="shared" ca="1" si="205"/>
        <v>0</v>
      </c>
      <c r="I126" s="368">
        <f t="shared" ca="1" si="205"/>
        <v>0</v>
      </c>
      <c r="J126" s="368">
        <f t="shared" ca="1" si="205"/>
        <v>0</v>
      </c>
      <c r="K126" s="368">
        <f t="shared" ca="1" si="205"/>
        <v>0</v>
      </c>
      <c r="L126" s="368">
        <f t="shared" ca="1" si="205"/>
        <v>0</v>
      </c>
      <c r="M126" s="368">
        <f t="shared" ca="1" si="205"/>
        <v>0</v>
      </c>
      <c r="N126" s="368">
        <f t="shared" ca="1" si="205"/>
        <v>0</v>
      </c>
      <c r="O126" s="369">
        <f t="shared" ref="O126:O129" ca="1" si="206">SUM(C126:N126)</f>
        <v>0</v>
      </c>
    </row>
    <row r="127" spans="2:15" x14ac:dyDescent="0.25">
      <c r="B127" s="259" t="s">
        <v>100</v>
      </c>
      <c r="C127" s="368">
        <f t="shared" ref="C127" ca="1" si="207">IF(OR(C124&lt;0.001,YEAR($C$12)&gt;$B122,AND(YEAR($C$12)=$B122,MONTH($C$12)&gt;C123)),0,IF($C$10="Lineair",$C$9,IF($C$10="Annuïteit",IFERROR((C126/(1-(1+$C$8/12)^-($C$7-N116)))-C126,0),0)))</f>
        <v>0</v>
      </c>
      <c r="D127" s="368">
        <f t="shared" ref="D127:I127" ca="1" si="208">IF(OR(D124&lt;0.001,YEAR($C$12)&gt;$B122,AND(YEAR($C$12)=$B122,MONTH($C$12)&gt;D123)),0,IF($C$10="Lineair",$C$9,IF($C$10="Annuïteit",IFERROR((D126/(1-(1+$C$8/12)^-($C$7-C125)))-D126,0),0)))</f>
        <v>0</v>
      </c>
      <c r="E127" s="368">
        <f t="shared" ca="1" si="208"/>
        <v>0</v>
      </c>
      <c r="F127" s="368">
        <f t="shared" ca="1" si="208"/>
        <v>0</v>
      </c>
      <c r="G127" s="368">
        <f t="shared" ca="1" si="208"/>
        <v>0</v>
      </c>
      <c r="H127" s="368">
        <f t="shared" ca="1" si="208"/>
        <v>0</v>
      </c>
      <c r="I127" s="368">
        <f t="shared" ca="1" si="208"/>
        <v>0</v>
      </c>
      <c r="J127" s="368">
        <f t="shared" ref="J127" ca="1" si="209">IF(OR(J124&lt;0.001,YEAR($C$12)&gt;$B122,AND(YEAR($C$12)=$B122,MONTH($C$12)&gt;J123)),0,IF($C$10="Lineair",$C$9,IF($C$10="Annuïteit",IFERROR((J126/(1-(1+$C$8/12)^-($C$7-I125)))-J126,0),0)))</f>
        <v>0</v>
      </c>
      <c r="K127" s="368">
        <f t="shared" ref="K127" ca="1" si="210">IF(OR(K124&lt;0.001,YEAR($C$12)&gt;$B122,AND(YEAR($C$12)=$B122,MONTH($C$12)&gt;K123)),0,IF($C$10="Lineair",$C$9,IF($C$10="Annuïteit",IFERROR((K126/(1-(1+$C$8/12)^-($C$7-J125)))-K126,0),0)))</f>
        <v>0</v>
      </c>
      <c r="L127" s="368">
        <f t="shared" ref="L127" ca="1" si="211">IF(OR(L124&lt;0.001,YEAR($C$12)&gt;$B122,AND(YEAR($C$12)=$B122,MONTH($C$12)&gt;L123)),0,IF($C$10="Lineair",$C$9,IF($C$10="Annuïteit",IFERROR((L126/(1-(1+$C$8/12)^-($C$7-K125)))-L126,0),0)))</f>
        <v>0</v>
      </c>
      <c r="M127" s="368">
        <f t="shared" ref="M127" ca="1" si="212">IF(OR(M124&lt;0.001,YEAR($C$12)&gt;$B122,AND(YEAR($C$12)=$B122,MONTH($C$12)&gt;M123)),0,IF($C$10="Lineair",$C$9,IF($C$10="Annuïteit",IFERROR((M126/(1-(1+$C$8/12)^-($C$7-L125)))-M126,0),0)))</f>
        <v>0</v>
      </c>
      <c r="N127" s="368">
        <f t="shared" ref="N127" ca="1" si="213">IF(OR(N124&lt;0.001,YEAR($C$12)&gt;$B122,AND(YEAR($C$12)=$B122,MONTH($C$12)&gt;N123)),0,IF($C$10="Lineair",$C$9,IF($C$10="Annuïteit",IFERROR((N126/(1-(1+$C$8/12)^-($C$7-M125)))-N126,0),0)))</f>
        <v>0</v>
      </c>
      <c r="O127" s="369">
        <f t="shared" ca="1" si="206"/>
        <v>0</v>
      </c>
    </row>
    <row r="128" spans="2:15" x14ac:dyDescent="0.25">
      <c r="B128" s="256" t="s">
        <v>101</v>
      </c>
      <c r="C128" s="372">
        <f t="shared" ref="C128:N128" ca="1" si="214">IF(AND(YEAR($C$11)=$B122,MONTH($C$11)=C123),$C$5,0)</f>
        <v>0</v>
      </c>
      <c r="D128" s="372">
        <f t="shared" ca="1" si="214"/>
        <v>0</v>
      </c>
      <c r="E128" s="372">
        <f t="shared" ca="1" si="214"/>
        <v>0</v>
      </c>
      <c r="F128" s="372">
        <f t="shared" ca="1" si="214"/>
        <v>0</v>
      </c>
      <c r="G128" s="372">
        <f t="shared" ca="1" si="214"/>
        <v>0</v>
      </c>
      <c r="H128" s="372">
        <f t="shared" ca="1" si="214"/>
        <v>0</v>
      </c>
      <c r="I128" s="372">
        <f t="shared" ca="1" si="214"/>
        <v>0</v>
      </c>
      <c r="J128" s="372">
        <f t="shared" ca="1" si="214"/>
        <v>0</v>
      </c>
      <c r="K128" s="372">
        <f t="shared" ca="1" si="214"/>
        <v>0</v>
      </c>
      <c r="L128" s="372">
        <f t="shared" ca="1" si="214"/>
        <v>0</v>
      </c>
      <c r="M128" s="372">
        <f t="shared" ca="1" si="214"/>
        <v>0</v>
      </c>
      <c r="N128" s="372">
        <f t="shared" ca="1" si="214"/>
        <v>0</v>
      </c>
      <c r="O128" s="369">
        <f t="shared" ca="1" si="206"/>
        <v>0</v>
      </c>
    </row>
    <row r="129" spans="2:15" x14ac:dyDescent="0.25">
      <c r="B129" s="373" t="s">
        <v>102</v>
      </c>
      <c r="C129" s="374">
        <f t="shared" ref="C129:N129" ca="1" si="215">SUM(C126:C128)</f>
        <v>0</v>
      </c>
      <c r="D129" s="374">
        <f t="shared" ca="1" si="215"/>
        <v>0</v>
      </c>
      <c r="E129" s="374">
        <f t="shared" ca="1" si="215"/>
        <v>0</v>
      </c>
      <c r="F129" s="374">
        <f t="shared" ca="1" si="215"/>
        <v>0</v>
      </c>
      <c r="G129" s="374">
        <f t="shared" ca="1" si="215"/>
        <v>0</v>
      </c>
      <c r="H129" s="374">
        <f t="shared" ca="1" si="215"/>
        <v>0</v>
      </c>
      <c r="I129" s="374">
        <f t="shared" ca="1" si="215"/>
        <v>0</v>
      </c>
      <c r="J129" s="374">
        <f t="shared" ca="1" si="215"/>
        <v>0</v>
      </c>
      <c r="K129" s="374">
        <f t="shared" ca="1" si="215"/>
        <v>0</v>
      </c>
      <c r="L129" s="374">
        <f t="shared" ca="1" si="215"/>
        <v>0</v>
      </c>
      <c r="M129" s="374">
        <f t="shared" ca="1" si="215"/>
        <v>0</v>
      </c>
      <c r="N129" s="374">
        <f t="shared" ca="1" si="215"/>
        <v>0</v>
      </c>
      <c r="O129" s="369">
        <f t="shared" ca="1" si="206"/>
        <v>0</v>
      </c>
    </row>
    <row r="130" spans="2:15" x14ac:dyDescent="0.25">
      <c r="B130" s="75"/>
      <c r="C130" s="75"/>
      <c r="D130" s="75"/>
      <c r="E130" s="75"/>
      <c r="F130" s="75"/>
      <c r="G130" s="75"/>
      <c r="H130" s="75"/>
      <c r="I130" s="75"/>
      <c r="J130" s="75"/>
      <c r="K130" s="75"/>
      <c r="L130" s="75"/>
      <c r="M130" s="75"/>
      <c r="N130" s="75"/>
      <c r="O130" s="75"/>
    </row>
    <row r="131" spans="2:15" x14ac:dyDescent="0.25">
      <c r="B131" s="351">
        <f t="shared" ref="B131:B194" si="216">B122+1</f>
        <v>2036</v>
      </c>
      <c r="C131" s="247" t="s">
        <v>181</v>
      </c>
      <c r="D131" s="247" t="s">
        <v>182</v>
      </c>
      <c r="E131" s="247" t="s">
        <v>183</v>
      </c>
      <c r="F131" s="247" t="s">
        <v>184</v>
      </c>
      <c r="G131" s="247" t="s">
        <v>185</v>
      </c>
      <c r="H131" s="247" t="s">
        <v>186</v>
      </c>
      <c r="I131" s="247" t="s">
        <v>187</v>
      </c>
      <c r="J131" s="247" t="s">
        <v>188</v>
      </c>
      <c r="K131" s="247" t="s">
        <v>189</v>
      </c>
      <c r="L131" s="247" t="s">
        <v>190</v>
      </c>
      <c r="M131" s="247" t="s">
        <v>191</v>
      </c>
      <c r="N131" s="247" t="s">
        <v>192</v>
      </c>
      <c r="O131" s="303" t="s">
        <v>408</v>
      </c>
    </row>
    <row r="132" spans="2:15" x14ac:dyDescent="0.25">
      <c r="B132" s="259"/>
      <c r="C132" s="301">
        <v>1</v>
      </c>
      <c r="D132" s="301">
        <v>2</v>
      </c>
      <c r="E132" s="301">
        <v>3</v>
      </c>
      <c r="F132" s="301">
        <v>4</v>
      </c>
      <c r="G132" s="301">
        <v>5</v>
      </c>
      <c r="H132" s="301">
        <v>6</v>
      </c>
      <c r="I132" s="301">
        <v>7</v>
      </c>
      <c r="J132" s="301">
        <v>8</v>
      </c>
      <c r="K132" s="301">
        <v>9</v>
      </c>
      <c r="L132" s="301">
        <v>10</v>
      </c>
      <c r="M132" s="301">
        <v>11</v>
      </c>
      <c r="N132" s="301">
        <v>12</v>
      </c>
      <c r="O132" s="302"/>
    </row>
    <row r="133" spans="2:15" x14ac:dyDescent="0.25">
      <c r="B133" s="259" t="s">
        <v>98</v>
      </c>
      <c r="C133" s="368">
        <f t="shared" ref="C133" ca="1" si="217">IF(AND(YEAR($C$11)=$B131,MONTH($C$11)=C132),$C$4,N124-N127)</f>
        <v>0</v>
      </c>
      <c r="D133" s="368">
        <f t="shared" ref="D133" ca="1" si="218">IF(AND(YEAR($C$11)=$B131,MONTH($C$11)=D132),$C$4,C133-C136)</f>
        <v>0</v>
      </c>
      <c r="E133" s="368">
        <f t="shared" ref="E133" ca="1" si="219">IF(AND(YEAR($C$11)=$B131,MONTH($C$11)=E132),$C$4,D133-D136)</f>
        <v>0</v>
      </c>
      <c r="F133" s="368">
        <f t="shared" ref="F133" ca="1" si="220">IF(AND(YEAR($C$11)=$B131,MONTH($C$11)=F132),$C$4,E133-E136)</f>
        <v>0</v>
      </c>
      <c r="G133" s="368">
        <f t="shared" ref="G133" ca="1" si="221">IF(AND(YEAR($C$11)=$B131,MONTH($C$11)=G132),$C$4,F133-F136)</f>
        <v>0</v>
      </c>
      <c r="H133" s="368">
        <f t="shared" ref="H133" ca="1" si="222">IF(AND(YEAR($C$11)=$B131,MONTH($C$11)=H132),$C$4,G133-G136)</f>
        <v>0</v>
      </c>
      <c r="I133" s="368">
        <f t="shared" ref="I133" ca="1" si="223">IF(AND(YEAR($C$11)=$B131,MONTH($C$11)=I132),$C$4,H133-H136)</f>
        <v>0</v>
      </c>
      <c r="J133" s="368">
        <f t="shared" ref="J133" ca="1" si="224">IF(AND(YEAR($C$11)=$B131,MONTH($C$11)=J132),$C$4,I133-I136)</f>
        <v>0</v>
      </c>
      <c r="K133" s="368">
        <f t="shared" ref="K133" ca="1" si="225">IF(AND(YEAR($C$11)=$B131,MONTH($C$11)=K132),$C$4,J133-J136)</f>
        <v>0</v>
      </c>
      <c r="L133" s="368">
        <f t="shared" ref="L133" ca="1" si="226">IF(AND(YEAR($C$11)=$B131,MONTH($C$11)=L132),$C$4,K133-K136)</f>
        <v>0</v>
      </c>
      <c r="M133" s="368">
        <f t="shared" ref="M133" ca="1" si="227">IF(AND(YEAR($C$11)=$B131,MONTH($C$11)=M132),$C$4,L133-L136)</f>
        <v>0</v>
      </c>
      <c r="N133" s="368">
        <f t="shared" ref="N133" ca="1" si="228">IF(AND(YEAR($C$11)=$B131,MONTH($C$11)=N132),$C$4,M133-M136)</f>
        <v>0</v>
      </c>
      <c r="O133" s="369"/>
    </row>
    <row r="134" spans="2:15" x14ac:dyDescent="0.25">
      <c r="B134" s="259"/>
      <c r="C134" s="370">
        <f t="shared" ref="C134:N134" ca="1" si="229">C125+12</f>
        <v>150</v>
      </c>
      <c r="D134" s="370">
        <f t="shared" ca="1" si="229"/>
        <v>151</v>
      </c>
      <c r="E134" s="370">
        <f t="shared" ca="1" si="229"/>
        <v>152</v>
      </c>
      <c r="F134" s="370">
        <f t="shared" ca="1" si="229"/>
        <v>153</v>
      </c>
      <c r="G134" s="370">
        <f t="shared" ca="1" si="229"/>
        <v>154</v>
      </c>
      <c r="H134" s="370">
        <f t="shared" ca="1" si="229"/>
        <v>155</v>
      </c>
      <c r="I134" s="370">
        <f t="shared" ca="1" si="229"/>
        <v>156</v>
      </c>
      <c r="J134" s="370">
        <f t="shared" ca="1" si="229"/>
        <v>157</v>
      </c>
      <c r="K134" s="370">
        <f t="shared" ca="1" si="229"/>
        <v>158</v>
      </c>
      <c r="L134" s="370">
        <f t="shared" ca="1" si="229"/>
        <v>159</v>
      </c>
      <c r="M134" s="370">
        <f t="shared" ca="1" si="229"/>
        <v>160</v>
      </c>
      <c r="N134" s="370">
        <f t="shared" ca="1" si="229"/>
        <v>161</v>
      </c>
      <c r="O134" s="371"/>
    </row>
    <row r="135" spans="2:15" x14ac:dyDescent="0.25">
      <c r="B135" s="259" t="s">
        <v>99</v>
      </c>
      <c r="C135" s="368">
        <f t="shared" ref="C135:N135" ca="1" si="230">IF(C133&lt;0.001,0,($C$8/12)*C133)</f>
        <v>0</v>
      </c>
      <c r="D135" s="368">
        <f t="shared" ca="1" si="230"/>
        <v>0</v>
      </c>
      <c r="E135" s="368">
        <f t="shared" ca="1" si="230"/>
        <v>0</v>
      </c>
      <c r="F135" s="368">
        <f t="shared" ca="1" si="230"/>
        <v>0</v>
      </c>
      <c r="G135" s="368">
        <f t="shared" ca="1" si="230"/>
        <v>0</v>
      </c>
      <c r="H135" s="368">
        <f t="shared" ca="1" si="230"/>
        <v>0</v>
      </c>
      <c r="I135" s="368">
        <f t="shared" ca="1" si="230"/>
        <v>0</v>
      </c>
      <c r="J135" s="368">
        <f t="shared" ca="1" si="230"/>
        <v>0</v>
      </c>
      <c r="K135" s="368">
        <f t="shared" ca="1" si="230"/>
        <v>0</v>
      </c>
      <c r="L135" s="368">
        <f t="shared" ca="1" si="230"/>
        <v>0</v>
      </c>
      <c r="M135" s="368">
        <f t="shared" ca="1" si="230"/>
        <v>0</v>
      </c>
      <c r="N135" s="368">
        <f t="shared" ca="1" si="230"/>
        <v>0</v>
      </c>
      <c r="O135" s="369">
        <f t="shared" ref="O135:O138" ca="1" si="231">SUM(C135:N135)</f>
        <v>0</v>
      </c>
    </row>
    <row r="136" spans="2:15" x14ac:dyDescent="0.25">
      <c r="B136" s="259" t="s">
        <v>100</v>
      </c>
      <c r="C136" s="368">
        <f t="shared" ref="C136" ca="1" si="232">IF(OR(C133&lt;0.001,YEAR($C$12)&gt;$B131,AND(YEAR($C$12)=$B131,MONTH($C$12)&gt;C132)),0,IF($C$10="Lineair",$C$9,IF($C$10="Annuïteit",IFERROR((C135/(1-(1+$C$8/12)^-($C$7-N125)))-C135,0),0)))</f>
        <v>0</v>
      </c>
      <c r="D136" s="368">
        <f t="shared" ref="D136" ca="1" si="233">IF(OR(D133&lt;0.001,YEAR($C$12)&gt;$B131,AND(YEAR($C$12)=$B131,MONTH($C$12)&gt;D132)),0,IF($C$10="Lineair",$C$9,IF($C$10="Annuïteit",IFERROR((D135/(1-(1+$C$8/12)^-($C$7-C134)))-D135,0),0)))</f>
        <v>0</v>
      </c>
      <c r="E136" s="368">
        <f t="shared" ref="E136" ca="1" si="234">IF(OR(E133&lt;0.001,YEAR($C$12)&gt;$B131,AND(YEAR($C$12)=$B131,MONTH($C$12)&gt;E132)),0,IF($C$10="Lineair",$C$9,IF($C$10="Annuïteit",IFERROR((E135/(1-(1+$C$8/12)^-($C$7-D134)))-E135,0),0)))</f>
        <v>0</v>
      </c>
      <c r="F136" s="368">
        <f t="shared" ref="F136" ca="1" si="235">IF(OR(F133&lt;0.001,YEAR($C$12)&gt;$B131,AND(YEAR($C$12)=$B131,MONTH($C$12)&gt;F132)),0,IF($C$10="Lineair",$C$9,IF($C$10="Annuïteit",IFERROR((F135/(1-(1+$C$8/12)^-($C$7-E134)))-F135,0),0)))</f>
        <v>0</v>
      </c>
      <c r="G136" s="368">
        <f t="shared" ref="G136" ca="1" si="236">IF(OR(G133&lt;0.001,YEAR($C$12)&gt;$B131,AND(YEAR($C$12)=$B131,MONTH($C$12)&gt;G132)),0,IF($C$10="Lineair",$C$9,IF($C$10="Annuïteit",IFERROR((G135/(1-(1+$C$8/12)^-($C$7-F134)))-G135,0),0)))</f>
        <v>0</v>
      </c>
      <c r="H136" s="368">
        <f t="shared" ref="H136" ca="1" si="237">IF(OR(H133&lt;0.001,YEAR($C$12)&gt;$B131,AND(YEAR($C$12)=$B131,MONTH($C$12)&gt;H132)),0,IF($C$10="Lineair",$C$9,IF($C$10="Annuïteit",IFERROR((H135/(1-(1+$C$8/12)^-($C$7-G134)))-H135,0),0)))</f>
        <v>0</v>
      </c>
      <c r="I136" s="368">
        <f t="shared" ref="I136" ca="1" si="238">IF(OR(I133&lt;0.001,YEAR($C$12)&gt;$B131,AND(YEAR($C$12)=$B131,MONTH($C$12)&gt;I132)),0,IF($C$10="Lineair",$C$9,IF($C$10="Annuïteit",IFERROR((I135/(1-(1+$C$8/12)^-($C$7-H134)))-I135,0),0)))</f>
        <v>0</v>
      </c>
      <c r="J136" s="368">
        <f t="shared" ref="J136" ca="1" si="239">IF(OR(J133&lt;0.001,YEAR($C$12)&gt;$B131,AND(YEAR($C$12)=$B131,MONTH($C$12)&gt;J132)),0,IF($C$10="Lineair",$C$9,IF($C$10="Annuïteit",IFERROR((J135/(1-(1+$C$8/12)^-($C$7-I134)))-J135,0),0)))</f>
        <v>0</v>
      </c>
      <c r="K136" s="368">
        <f t="shared" ref="K136" ca="1" si="240">IF(OR(K133&lt;0.001,YEAR($C$12)&gt;$B131,AND(YEAR($C$12)=$B131,MONTH($C$12)&gt;K132)),0,IF($C$10="Lineair",$C$9,IF($C$10="Annuïteit",IFERROR((K135/(1-(1+$C$8/12)^-($C$7-J134)))-K135,0),0)))</f>
        <v>0</v>
      </c>
      <c r="L136" s="368">
        <f t="shared" ref="L136" ca="1" si="241">IF(OR(L133&lt;0.001,YEAR($C$12)&gt;$B131,AND(YEAR($C$12)=$B131,MONTH($C$12)&gt;L132)),0,IF($C$10="Lineair",$C$9,IF($C$10="Annuïteit",IFERROR((L135/(1-(1+$C$8/12)^-($C$7-K134)))-L135,0),0)))</f>
        <v>0</v>
      </c>
      <c r="M136" s="368">
        <f t="shared" ref="M136" ca="1" si="242">IF(OR(M133&lt;0.001,YEAR($C$12)&gt;$B131,AND(YEAR($C$12)=$B131,MONTH($C$12)&gt;M132)),0,IF($C$10="Lineair",$C$9,IF($C$10="Annuïteit",IFERROR((M135/(1-(1+$C$8/12)^-($C$7-L134)))-M135,0),0)))</f>
        <v>0</v>
      </c>
      <c r="N136" s="368">
        <f t="shared" ref="N136" ca="1" si="243">IF(OR(N133&lt;0.001,YEAR($C$12)&gt;$B131,AND(YEAR($C$12)=$B131,MONTH($C$12)&gt;N132)),0,IF($C$10="Lineair",$C$9,IF($C$10="Annuïteit",IFERROR((N135/(1-(1+$C$8/12)^-($C$7-M134)))-N135,0),0)))</f>
        <v>0</v>
      </c>
      <c r="O136" s="369">
        <f t="shared" ca="1" si="231"/>
        <v>0</v>
      </c>
    </row>
    <row r="137" spans="2:15" x14ac:dyDescent="0.25">
      <c r="B137" s="256" t="s">
        <v>101</v>
      </c>
      <c r="C137" s="372">
        <f t="shared" ref="C137:N137" ca="1" si="244">IF(AND(YEAR($C$11)=$B131,MONTH($C$11)=C132),$C$5,0)</f>
        <v>0</v>
      </c>
      <c r="D137" s="372">
        <f t="shared" ca="1" si="244"/>
        <v>0</v>
      </c>
      <c r="E137" s="372">
        <f t="shared" ca="1" si="244"/>
        <v>0</v>
      </c>
      <c r="F137" s="372">
        <f t="shared" ca="1" si="244"/>
        <v>0</v>
      </c>
      <c r="G137" s="372">
        <f t="shared" ca="1" si="244"/>
        <v>0</v>
      </c>
      <c r="H137" s="372">
        <f t="shared" ca="1" si="244"/>
        <v>0</v>
      </c>
      <c r="I137" s="372">
        <f t="shared" ca="1" si="244"/>
        <v>0</v>
      </c>
      <c r="J137" s="372">
        <f t="shared" ca="1" si="244"/>
        <v>0</v>
      </c>
      <c r="K137" s="372">
        <f t="shared" ca="1" si="244"/>
        <v>0</v>
      </c>
      <c r="L137" s="372">
        <f t="shared" ca="1" si="244"/>
        <v>0</v>
      </c>
      <c r="M137" s="372">
        <f t="shared" ca="1" si="244"/>
        <v>0</v>
      </c>
      <c r="N137" s="372">
        <f t="shared" ca="1" si="244"/>
        <v>0</v>
      </c>
      <c r="O137" s="369">
        <f t="shared" ca="1" si="231"/>
        <v>0</v>
      </c>
    </row>
    <row r="138" spans="2:15" x14ac:dyDescent="0.25">
      <c r="B138" s="373" t="s">
        <v>102</v>
      </c>
      <c r="C138" s="374">
        <f t="shared" ref="C138:N138" ca="1" si="245">SUM(C135:C137)</f>
        <v>0</v>
      </c>
      <c r="D138" s="374">
        <f t="shared" ca="1" si="245"/>
        <v>0</v>
      </c>
      <c r="E138" s="374">
        <f t="shared" ca="1" si="245"/>
        <v>0</v>
      </c>
      <c r="F138" s="374">
        <f t="shared" ca="1" si="245"/>
        <v>0</v>
      </c>
      <c r="G138" s="374">
        <f t="shared" ca="1" si="245"/>
        <v>0</v>
      </c>
      <c r="H138" s="374">
        <f t="shared" ca="1" si="245"/>
        <v>0</v>
      </c>
      <c r="I138" s="374">
        <f t="shared" ca="1" si="245"/>
        <v>0</v>
      </c>
      <c r="J138" s="374">
        <f t="shared" ca="1" si="245"/>
        <v>0</v>
      </c>
      <c r="K138" s="374">
        <f t="shared" ca="1" si="245"/>
        <v>0</v>
      </c>
      <c r="L138" s="374">
        <f t="shared" ca="1" si="245"/>
        <v>0</v>
      </c>
      <c r="M138" s="374">
        <f t="shared" ca="1" si="245"/>
        <v>0</v>
      </c>
      <c r="N138" s="374">
        <f t="shared" ca="1" si="245"/>
        <v>0</v>
      </c>
      <c r="O138" s="369">
        <f t="shared" ca="1" si="231"/>
        <v>0</v>
      </c>
    </row>
    <row r="139" spans="2:15" x14ac:dyDescent="0.25">
      <c r="B139" s="75"/>
      <c r="C139" s="75"/>
      <c r="D139" s="75"/>
      <c r="E139" s="75"/>
      <c r="F139" s="75"/>
      <c r="G139" s="75"/>
      <c r="H139" s="75"/>
      <c r="I139" s="75"/>
      <c r="J139" s="75"/>
      <c r="K139" s="75"/>
      <c r="L139" s="75"/>
      <c r="M139" s="75"/>
      <c r="N139" s="75"/>
      <c r="O139" s="75"/>
    </row>
    <row r="140" spans="2:15" x14ac:dyDescent="0.25">
      <c r="B140" s="351">
        <f t="shared" si="216"/>
        <v>2037</v>
      </c>
      <c r="C140" s="247" t="s">
        <v>181</v>
      </c>
      <c r="D140" s="247" t="s">
        <v>182</v>
      </c>
      <c r="E140" s="247" t="s">
        <v>183</v>
      </c>
      <c r="F140" s="247" t="s">
        <v>184</v>
      </c>
      <c r="G140" s="247" t="s">
        <v>185</v>
      </c>
      <c r="H140" s="247" t="s">
        <v>186</v>
      </c>
      <c r="I140" s="247" t="s">
        <v>187</v>
      </c>
      <c r="J140" s="247" t="s">
        <v>188</v>
      </c>
      <c r="K140" s="247" t="s">
        <v>189</v>
      </c>
      <c r="L140" s="247" t="s">
        <v>190</v>
      </c>
      <c r="M140" s="247" t="s">
        <v>191</v>
      </c>
      <c r="N140" s="247" t="s">
        <v>192</v>
      </c>
      <c r="O140" s="303" t="s">
        <v>408</v>
      </c>
    </row>
    <row r="141" spans="2:15" x14ac:dyDescent="0.25">
      <c r="B141" s="259"/>
      <c r="C141" s="301">
        <v>1</v>
      </c>
      <c r="D141" s="301">
        <v>2</v>
      </c>
      <c r="E141" s="301">
        <v>3</v>
      </c>
      <c r="F141" s="301">
        <v>4</v>
      </c>
      <c r="G141" s="301">
        <v>5</v>
      </c>
      <c r="H141" s="301">
        <v>6</v>
      </c>
      <c r="I141" s="301">
        <v>7</v>
      </c>
      <c r="J141" s="301">
        <v>8</v>
      </c>
      <c r="K141" s="301">
        <v>9</v>
      </c>
      <c r="L141" s="301">
        <v>10</v>
      </c>
      <c r="M141" s="301">
        <v>11</v>
      </c>
      <c r="N141" s="301">
        <v>12</v>
      </c>
      <c r="O141" s="302"/>
    </row>
    <row r="142" spans="2:15" x14ac:dyDescent="0.25">
      <c r="B142" s="259" t="s">
        <v>98</v>
      </c>
      <c r="C142" s="368">
        <f t="shared" ref="C142" ca="1" si="246">IF(AND(YEAR($C$11)=$B140,MONTH($C$11)=C141),$C$4,N133-N136)</f>
        <v>0</v>
      </c>
      <c r="D142" s="368">
        <f t="shared" ref="D142" ca="1" si="247">IF(AND(YEAR($C$11)=$B140,MONTH($C$11)=D141),$C$4,C142-C145)</f>
        <v>0</v>
      </c>
      <c r="E142" s="368">
        <f t="shared" ref="E142" ca="1" si="248">IF(AND(YEAR($C$11)=$B140,MONTH($C$11)=E141),$C$4,D142-D145)</f>
        <v>0</v>
      </c>
      <c r="F142" s="368">
        <f t="shared" ref="F142" ca="1" si="249">IF(AND(YEAR($C$11)=$B140,MONTH($C$11)=F141),$C$4,E142-E145)</f>
        <v>0</v>
      </c>
      <c r="G142" s="368">
        <f t="shared" ref="G142" ca="1" si="250">IF(AND(YEAR($C$11)=$B140,MONTH($C$11)=G141),$C$4,F142-F145)</f>
        <v>0</v>
      </c>
      <c r="H142" s="368">
        <f t="shared" ref="H142" ca="1" si="251">IF(AND(YEAR($C$11)=$B140,MONTH($C$11)=H141),$C$4,G142-G145)</f>
        <v>0</v>
      </c>
      <c r="I142" s="368">
        <f t="shared" ref="I142" ca="1" si="252">IF(AND(YEAR($C$11)=$B140,MONTH($C$11)=I141),$C$4,H142-H145)</f>
        <v>0</v>
      </c>
      <c r="J142" s="368">
        <f t="shared" ref="J142" ca="1" si="253">IF(AND(YEAR($C$11)=$B140,MONTH($C$11)=J141),$C$4,I142-I145)</f>
        <v>0</v>
      </c>
      <c r="K142" s="368">
        <f t="shared" ref="K142" ca="1" si="254">IF(AND(YEAR($C$11)=$B140,MONTH($C$11)=K141),$C$4,J142-J145)</f>
        <v>0</v>
      </c>
      <c r="L142" s="368">
        <f t="shared" ref="L142" ca="1" si="255">IF(AND(YEAR($C$11)=$B140,MONTH($C$11)=L141),$C$4,K142-K145)</f>
        <v>0</v>
      </c>
      <c r="M142" s="368">
        <f t="shared" ref="M142" ca="1" si="256">IF(AND(YEAR($C$11)=$B140,MONTH($C$11)=M141),$C$4,L142-L145)</f>
        <v>0</v>
      </c>
      <c r="N142" s="368">
        <f t="shared" ref="N142" ca="1" si="257">IF(AND(YEAR($C$11)=$B140,MONTH($C$11)=N141),$C$4,M142-M145)</f>
        <v>0</v>
      </c>
      <c r="O142" s="369"/>
    </row>
    <row r="143" spans="2:15" x14ac:dyDescent="0.25">
      <c r="B143" s="259"/>
      <c r="C143" s="370">
        <f t="shared" ref="C143:N143" ca="1" si="258">C134+12</f>
        <v>162</v>
      </c>
      <c r="D143" s="370">
        <f t="shared" ca="1" si="258"/>
        <v>163</v>
      </c>
      <c r="E143" s="370">
        <f t="shared" ca="1" si="258"/>
        <v>164</v>
      </c>
      <c r="F143" s="370">
        <f t="shared" ca="1" si="258"/>
        <v>165</v>
      </c>
      <c r="G143" s="370">
        <f t="shared" ca="1" si="258"/>
        <v>166</v>
      </c>
      <c r="H143" s="370">
        <f t="shared" ca="1" si="258"/>
        <v>167</v>
      </c>
      <c r="I143" s="370">
        <f t="shared" ca="1" si="258"/>
        <v>168</v>
      </c>
      <c r="J143" s="370">
        <f t="shared" ca="1" si="258"/>
        <v>169</v>
      </c>
      <c r="K143" s="370">
        <f t="shared" ca="1" si="258"/>
        <v>170</v>
      </c>
      <c r="L143" s="370">
        <f t="shared" ca="1" si="258"/>
        <v>171</v>
      </c>
      <c r="M143" s="370">
        <f t="shared" ca="1" si="258"/>
        <v>172</v>
      </c>
      <c r="N143" s="370">
        <f t="shared" ca="1" si="258"/>
        <v>173</v>
      </c>
      <c r="O143" s="371"/>
    </row>
    <row r="144" spans="2:15" x14ac:dyDescent="0.25">
      <c r="B144" s="259" t="s">
        <v>99</v>
      </c>
      <c r="C144" s="368">
        <f t="shared" ref="C144:N144" ca="1" si="259">IF(C142&lt;0.001,0,($C$8/12)*C142)</f>
        <v>0</v>
      </c>
      <c r="D144" s="368">
        <f t="shared" ca="1" si="259"/>
        <v>0</v>
      </c>
      <c r="E144" s="368">
        <f t="shared" ca="1" si="259"/>
        <v>0</v>
      </c>
      <c r="F144" s="368">
        <f t="shared" ca="1" si="259"/>
        <v>0</v>
      </c>
      <c r="G144" s="368">
        <f t="shared" ca="1" si="259"/>
        <v>0</v>
      </c>
      <c r="H144" s="368">
        <f t="shared" ca="1" si="259"/>
        <v>0</v>
      </c>
      <c r="I144" s="368">
        <f t="shared" ca="1" si="259"/>
        <v>0</v>
      </c>
      <c r="J144" s="368">
        <f t="shared" ca="1" si="259"/>
        <v>0</v>
      </c>
      <c r="K144" s="368">
        <f t="shared" ca="1" si="259"/>
        <v>0</v>
      </c>
      <c r="L144" s="368">
        <f t="shared" ca="1" si="259"/>
        <v>0</v>
      </c>
      <c r="M144" s="368">
        <f t="shared" ca="1" si="259"/>
        <v>0</v>
      </c>
      <c r="N144" s="368">
        <f t="shared" ca="1" si="259"/>
        <v>0</v>
      </c>
      <c r="O144" s="369">
        <f t="shared" ref="O144:O147" ca="1" si="260">SUM(C144:N144)</f>
        <v>0</v>
      </c>
    </row>
    <row r="145" spans="2:15" x14ac:dyDescent="0.25">
      <c r="B145" s="259" t="s">
        <v>100</v>
      </c>
      <c r="C145" s="368">
        <f t="shared" ref="C145" ca="1" si="261">IF(OR(C142&lt;0.001,YEAR($C$12)&gt;$B140,AND(YEAR($C$12)=$B140,MONTH($C$12)&gt;C141)),0,IF($C$10="Lineair",$C$9,IF($C$10="Annuïteit",IFERROR((C144/(1-(1+$C$8/12)^-($C$7-N134)))-C144,0),0)))</f>
        <v>0</v>
      </c>
      <c r="D145" s="368">
        <f t="shared" ref="D145" ca="1" si="262">IF(OR(D142&lt;0.001,YEAR($C$12)&gt;$B140,AND(YEAR($C$12)=$B140,MONTH($C$12)&gt;D141)),0,IF($C$10="Lineair",$C$9,IF($C$10="Annuïteit",IFERROR((D144/(1-(1+$C$8/12)^-($C$7-C143)))-D144,0),0)))</f>
        <v>0</v>
      </c>
      <c r="E145" s="368">
        <f t="shared" ref="E145" ca="1" si="263">IF(OR(E142&lt;0.001,YEAR($C$12)&gt;$B140,AND(YEAR($C$12)=$B140,MONTH($C$12)&gt;E141)),0,IF($C$10="Lineair",$C$9,IF($C$10="Annuïteit",IFERROR((E144/(1-(1+$C$8/12)^-($C$7-D143)))-E144,0),0)))</f>
        <v>0</v>
      </c>
      <c r="F145" s="368">
        <f t="shared" ref="F145" ca="1" si="264">IF(OR(F142&lt;0.001,YEAR($C$12)&gt;$B140,AND(YEAR($C$12)=$B140,MONTH($C$12)&gt;F141)),0,IF($C$10="Lineair",$C$9,IF($C$10="Annuïteit",IFERROR((F144/(1-(1+$C$8/12)^-($C$7-E143)))-F144,0),0)))</f>
        <v>0</v>
      </c>
      <c r="G145" s="368">
        <f t="shared" ref="G145" ca="1" si="265">IF(OR(G142&lt;0.001,YEAR($C$12)&gt;$B140,AND(YEAR($C$12)=$B140,MONTH($C$12)&gt;G141)),0,IF($C$10="Lineair",$C$9,IF($C$10="Annuïteit",IFERROR((G144/(1-(1+$C$8/12)^-($C$7-F143)))-G144,0),0)))</f>
        <v>0</v>
      </c>
      <c r="H145" s="368">
        <f t="shared" ref="H145" ca="1" si="266">IF(OR(H142&lt;0.001,YEAR($C$12)&gt;$B140,AND(YEAR($C$12)=$B140,MONTH($C$12)&gt;H141)),0,IF($C$10="Lineair",$C$9,IF($C$10="Annuïteit",IFERROR((H144/(1-(1+$C$8/12)^-($C$7-G143)))-H144,0),0)))</f>
        <v>0</v>
      </c>
      <c r="I145" s="368">
        <f t="shared" ref="I145" ca="1" si="267">IF(OR(I142&lt;0.001,YEAR($C$12)&gt;$B140,AND(YEAR($C$12)=$B140,MONTH($C$12)&gt;I141)),0,IF($C$10="Lineair",$C$9,IF($C$10="Annuïteit",IFERROR((I144/(1-(1+$C$8/12)^-($C$7-H143)))-I144,0),0)))</f>
        <v>0</v>
      </c>
      <c r="J145" s="368">
        <f t="shared" ref="J145" ca="1" si="268">IF(OR(J142&lt;0.001,YEAR($C$12)&gt;$B140,AND(YEAR($C$12)=$B140,MONTH($C$12)&gt;J141)),0,IF($C$10="Lineair",$C$9,IF($C$10="Annuïteit",IFERROR((J144/(1-(1+$C$8/12)^-($C$7-I143)))-J144,0),0)))</f>
        <v>0</v>
      </c>
      <c r="K145" s="368">
        <f t="shared" ref="K145" ca="1" si="269">IF(OR(K142&lt;0.001,YEAR($C$12)&gt;$B140,AND(YEAR($C$12)=$B140,MONTH($C$12)&gt;K141)),0,IF($C$10="Lineair",$C$9,IF($C$10="Annuïteit",IFERROR((K144/(1-(1+$C$8/12)^-($C$7-J143)))-K144,0),0)))</f>
        <v>0</v>
      </c>
      <c r="L145" s="368">
        <f t="shared" ref="L145" ca="1" si="270">IF(OR(L142&lt;0.001,YEAR($C$12)&gt;$B140,AND(YEAR($C$12)=$B140,MONTH($C$12)&gt;L141)),0,IF($C$10="Lineair",$C$9,IF($C$10="Annuïteit",IFERROR((L144/(1-(1+$C$8/12)^-($C$7-K143)))-L144,0),0)))</f>
        <v>0</v>
      </c>
      <c r="M145" s="368">
        <f t="shared" ref="M145" ca="1" si="271">IF(OR(M142&lt;0.001,YEAR($C$12)&gt;$B140,AND(YEAR($C$12)=$B140,MONTH($C$12)&gt;M141)),0,IF($C$10="Lineair",$C$9,IF($C$10="Annuïteit",IFERROR((M144/(1-(1+$C$8/12)^-($C$7-L143)))-M144,0),0)))</f>
        <v>0</v>
      </c>
      <c r="N145" s="368">
        <f t="shared" ref="N145" ca="1" si="272">IF(OR(N142&lt;0.001,YEAR($C$12)&gt;$B140,AND(YEAR($C$12)=$B140,MONTH($C$12)&gt;N141)),0,IF($C$10="Lineair",$C$9,IF($C$10="Annuïteit",IFERROR((N144/(1-(1+$C$8/12)^-($C$7-M143)))-N144,0),0)))</f>
        <v>0</v>
      </c>
      <c r="O145" s="369">
        <f t="shared" ca="1" si="260"/>
        <v>0</v>
      </c>
    </row>
    <row r="146" spans="2:15" x14ac:dyDescent="0.25">
      <c r="B146" s="256" t="s">
        <v>101</v>
      </c>
      <c r="C146" s="372">
        <f t="shared" ref="C146:N146" ca="1" si="273">IF(AND(YEAR($C$11)=$B140,MONTH($C$11)=C141),$C$5,0)</f>
        <v>0</v>
      </c>
      <c r="D146" s="372">
        <f t="shared" ca="1" si="273"/>
        <v>0</v>
      </c>
      <c r="E146" s="372">
        <f t="shared" ca="1" si="273"/>
        <v>0</v>
      </c>
      <c r="F146" s="372">
        <f t="shared" ca="1" si="273"/>
        <v>0</v>
      </c>
      <c r="G146" s="372">
        <f t="shared" ca="1" si="273"/>
        <v>0</v>
      </c>
      <c r="H146" s="372">
        <f t="shared" ca="1" si="273"/>
        <v>0</v>
      </c>
      <c r="I146" s="372">
        <f t="shared" ca="1" si="273"/>
        <v>0</v>
      </c>
      <c r="J146" s="372">
        <f t="shared" ca="1" si="273"/>
        <v>0</v>
      </c>
      <c r="K146" s="372">
        <f t="shared" ca="1" si="273"/>
        <v>0</v>
      </c>
      <c r="L146" s="372">
        <f t="shared" ca="1" si="273"/>
        <v>0</v>
      </c>
      <c r="M146" s="372">
        <f t="shared" ca="1" si="273"/>
        <v>0</v>
      </c>
      <c r="N146" s="372">
        <f t="shared" ca="1" si="273"/>
        <v>0</v>
      </c>
      <c r="O146" s="369">
        <f t="shared" ca="1" si="260"/>
        <v>0</v>
      </c>
    </row>
    <row r="147" spans="2:15" x14ac:dyDescent="0.25">
      <c r="B147" s="373" t="s">
        <v>102</v>
      </c>
      <c r="C147" s="374">
        <f t="shared" ref="C147:N147" ca="1" si="274">SUM(C144:C146)</f>
        <v>0</v>
      </c>
      <c r="D147" s="374">
        <f t="shared" ca="1" si="274"/>
        <v>0</v>
      </c>
      <c r="E147" s="374">
        <f t="shared" ca="1" si="274"/>
        <v>0</v>
      </c>
      <c r="F147" s="374">
        <f t="shared" ca="1" si="274"/>
        <v>0</v>
      </c>
      <c r="G147" s="374">
        <f t="shared" ca="1" si="274"/>
        <v>0</v>
      </c>
      <c r="H147" s="374">
        <f t="shared" ca="1" si="274"/>
        <v>0</v>
      </c>
      <c r="I147" s="374">
        <f t="shared" ca="1" si="274"/>
        <v>0</v>
      </c>
      <c r="J147" s="374">
        <f t="shared" ca="1" si="274"/>
        <v>0</v>
      </c>
      <c r="K147" s="374">
        <f t="shared" ca="1" si="274"/>
        <v>0</v>
      </c>
      <c r="L147" s="374">
        <f t="shared" ca="1" si="274"/>
        <v>0</v>
      </c>
      <c r="M147" s="374">
        <f t="shared" ca="1" si="274"/>
        <v>0</v>
      </c>
      <c r="N147" s="374">
        <f t="shared" ca="1" si="274"/>
        <v>0</v>
      </c>
      <c r="O147" s="369">
        <f t="shared" ca="1" si="260"/>
        <v>0</v>
      </c>
    </row>
    <row r="148" spans="2:15" x14ac:dyDescent="0.25">
      <c r="B148" s="75"/>
      <c r="C148" s="75"/>
      <c r="D148" s="75"/>
      <c r="E148" s="75"/>
      <c r="F148" s="75"/>
      <c r="G148" s="75"/>
      <c r="H148" s="75"/>
      <c r="I148" s="75"/>
      <c r="J148" s="75"/>
      <c r="K148" s="75"/>
      <c r="L148" s="75"/>
      <c r="M148" s="75"/>
      <c r="N148" s="75"/>
      <c r="O148" s="75"/>
    </row>
    <row r="149" spans="2:15" x14ac:dyDescent="0.25">
      <c r="B149" s="351">
        <f t="shared" si="216"/>
        <v>2038</v>
      </c>
      <c r="C149" s="247" t="s">
        <v>181</v>
      </c>
      <c r="D149" s="247" t="s">
        <v>182</v>
      </c>
      <c r="E149" s="247" t="s">
        <v>183</v>
      </c>
      <c r="F149" s="247" t="s">
        <v>184</v>
      </c>
      <c r="G149" s="247" t="s">
        <v>185</v>
      </c>
      <c r="H149" s="247" t="s">
        <v>186</v>
      </c>
      <c r="I149" s="247" t="s">
        <v>187</v>
      </c>
      <c r="J149" s="247" t="s">
        <v>188</v>
      </c>
      <c r="K149" s="247" t="s">
        <v>189</v>
      </c>
      <c r="L149" s="247" t="s">
        <v>190</v>
      </c>
      <c r="M149" s="247" t="s">
        <v>191</v>
      </c>
      <c r="N149" s="247" t="s">
        <v>192</v>
      </c>
      <c r="O149" s="303" t="s">
        <v>408</v>
      </c>
    </row>
    <row r="150" spans="2:15" x14ac:dyDescent="0.25">
      <c r="B150" s="259"/>
      <c r="C150" s="301">
        <v>1</v>
      </c>
      <c r="D150" s="301">
        <v>2</v>
      </c>
      <c r="E150" s="301">
        <v>3</v>
      </c>
      <c r="F150" s="301">
        <v>4</v>
      </c>
      <c r="G150" s="301">
        <v>5</v>
      </c>
      <c r="H150" s="301">
        <v>6</v>
      </c>
      <c r="I150" s="301">
        <v>7</v>
      </c>
      <c r="J150" s="301">
        <v>8</v>
      </c>
      <c r="K150" s="301">
        <v>9</v>
      </c>
      <c r="L150" s="301">
        <v>10</v>
      </c>
      <c r="M150" s="301">
        <v>11</v>
      </c>
      <c r="N150" s="301">
        <v>12</v>
      </c>
      <c r="O150" s="302"/>
    </row>
    <row r="151" spans="2:15" x14ac:dyDescent="0.25">
      <c r="B151" s="259" t="s">
        <v>98</v>
      </c>
      <c r="C151" s="368">
        <f t="shared" ref="C151" ca="1" si="275">IF(AND(YEAR($C$11)=$B149,MONTH($C$11)=C150),$C$4,N142-N145)</f>
        <v>0</v>
      </c>
      <c r="D151" s="368">
        <f t="shared" ref="D151" ca="1" si="276">IF(AND(YEAR($C$11)=$B149,MONTH($C$11)=D150),$C$4,C151-C154)</f>
        <v>0</v>
      </c>
      <c r="E151" s="368">
        <f t="shared" ref="E151" ca="1" si="277">IF(AND(YEAR($C$11)=$B149,MONTH($C$11)=E150),$C$4,D151-D154)</f>
        <v>0</v>
      </c>
      <c r="F151" s="368">
        <f t="shared" ref="F151" ca="1" si="278">IF(AND(YEAR($C$11)=$B149,MONTH($C$11)=F150),$C$4,E151-E154)</f>
        <v>0</v>
      </c>
      <c r="G151" s="368">
        <f t="shared" ref="G151" ca="1" si="279">IF(AND(YEAR($C$11)=$B149,MONTH($C$11)=G150),$C$4,F151-F154)</f>
        <v>0</v>
      </c>
      <c r="H151" s="368">
        <f t="shared" ref="H151" ca="1" si="280">IF(AND(YEAR($C$11)=$B149,MONTH($C$11)=H150),$C$4,G151-G154)</f>
        <v>0</v>
      </c>
      <c r="I151" s="368">
        <f t="shared" ref="I151" ca="1" si="281">IF(AND(YEAR($C$11)=$B149,MONTH($C$11)=I150),$C$4,H151-H154)</f>
        <v>0</v>
      </c>
      <c r="J151" s="368">
        <f t="shared" ref="J151" ca="1" si="282">IF(AND(YEAR($C$11)=$B149,MONTH($C$11)=J150),$C$4,I151-I154)</f>
        <v>0</v>
      </c>
      <c r="K151" s="368">
        <f t="shared" ref="K151" ca="1" si="283">IF(AND(YEAR($C$11)=$B149,MONTH($C$11)=K150),$C$4,J151-J154)</f>
        <v>0</v>
      </c>
      <c r="L151" s="368">
        <f t="shared" ref="L151" ca="1" si="284">IF(AND(YEAR($C$11)=$B149,MONTH($C$11)=L150),$C$4,K151-K154)</f>
        <v>0</v>
      </c>
      <c r="M151" s="368">
        <f t="shared" ref="M151" ca="1" si="285">IF(AND(YEAR($C$11)=$B149,MONTH($C$11)=M150),$C$4,L151-L154)</f>
        <v>0</v>
      </c>
      <c r="N151" s="368">
        <f t="shared" ref="N151" ca="1" si="286">IF(AND(YEAR($C$11)=$B149,MONTH($C$11)=N150),$C$4,M151-M154)</f>
        <v>0</v>
      </c>
      <c r="O151" s="369"/>
    </row>
    <row r="152" spans="2:15" x14ac:dyDescent="0.25">
      <c r="B152" s="259"/>
      <c r="C152" s="370">
        <f t="shared" ref="C152:N152" ca="1" si="287">C143+12</f>
        <v>174</v>
      </c>
      <c r="D152" s="370">
        <f t="shared" ca="1" si="287"/>
        <v>175</v>
      </c>
      <c r="E152" s="370">
        <f t="shared" ca="1" si="287"/>
        <v>176</v>
      </c>
      <c r="F152" s="370">
        <f t="shared" ca="1" si="287"/>
        <v>177</v>
      </c>
      <c r="G152" s="370">
        <f t="shared" ca="1" si="287"/>
        <v>178</v>
      </c>
      <c r="H152" s="370">
        <f t="shared" ca="1" si="287"/>
        <v>179</v>
      </c>
      <c r="I152" s="370">
        <f t="shared" ca="1" si="287"/>
        <v>180</v>
      </c>
      <c r="J152" s="370">
        <f t="shared" ca="1" si="287"/>
        <v>181</v>
      </c>
      <c r="K152" s="370">
        <f t="shared" ca="1" si="287"/>
        <v>182</v>
      </c>
      <c r="L152" s="370">
        <f t="shared" ca="1" si="287"/>
        <v>183</v>
      </c>
      <c r="M152" s="370">
        <f t="shared" ca="1" si="287"/>
        <v>184</v>
      </c>
      <c r="N152" s="370">
        <f t="shared" ca="1" si="287"/>
        <v>185</v>
      </c>
      <c r="O152" s="371"/>
    </row>
    <row r="153" spans="2:15" x14ac:dyDescent="0.25">
      <c r="B153" s="259" t="s">
        <v>99</v>
      </c>
      <c r="C153" s="368">
        <f t="shared" ref="C153:N153" ca="1" si="288">IF(C151&lt;0.001,0,($C$8/12)*C151)</f>
        <v>0</v>
      </c>
      <c r="D153" s="368">
        <f t="shared" ca="1" si="288"/>
        <v>0</v>
      </c>
      <c r="E153" s="368">
        <f t="shared" ca="1" si="288"/>
        <v>0</v>
      </c>
      <c r="F153" s="368">
        <f t="shared" ca="1" si="288"/>
        <v>0</v>
      </c>
      <c r="G153" s="368">
        <f t="shared" ca="1" si="288"/>
        <v>0</v>
      </c>
      <c r="H153" s="368">
        <f t="shared" ca="1" si="288"/>
        <v>0</v>
      </c>
      <c r="I153" s="368">
        <f t="shared" ca="1" si="288"/>
        <v>0</v>
      </c>
      <c r="J153" s="368">
        <f t="shared" ca="1" si="288"/>
        <v>0</v>
      </c>
      <c r="K153" s="368">
        <f t="shared" ca="1" si="288"/>
        <v>0</v>
      </c>
      <c r="L153" s="368">
        <f t="shared" ca="1" si="288"/>
        <v>0</v>
      </c>
      <c r="M153" s="368">
        <f t="shared" ca="1" si="288"/>
        <v>0</v>
      </c>
      <c r="N153" s="368">
        <f t="shared" ca="1" si="288"/>
        <v>0</v>
      </c>
      <c r="O153" s="369">
        <f t="shared" ref="O153:O156" ca="1" si="289">SUM(C153:N153)</f>
        <v>0</v>
      </c>
    </row>
    <row r="154" spans="2:15" x14ac:dyDescent="0.25">
      <c r="B154" s="259" t="s">
        <v>100</v>
      </c>
      <c r="C154" s="368">
        <f t="shared" ref="C154" ca="1" si="290">IF(OR(C151&lt;0.001,YEAR($C$12)&gt;$B149,AND(YEAR($C$12)=$B149,MONTH($C$12)&gt;C150)),0,IF($C$10="Lineair",$C$9,IF($C$10="Annuïteit",IFERROR((C153/(1-(1+$C$8/12)^-($C$7-N143)))-C153,0),0)))</f>
        <v>0</v>
      </c>
      <c r="D154" s="368">
        <f t="shared" ref="D154" ca="1" si="291">IF(OR(D151&lt;0.001,YEAR($C$12)&gt;$B149,AND(YEAR($C$12)=$B149,MONTH($C$12)&gt;D150)),0,IF($C$10="Lineair",$C$9,IF($C$10="Annuïteit",IFERROR((D153/(1-(1+$C$8/12)^-($C$7-C152)))-D153,0),0)))</f>
        <v>0</v>
      </c>
      <c r="E154" s="368">
        <f t="shared" ref="E154" ca="1" si="292">IF(OR(E151&lt;0.001,YEAR($C$12)&gt;$B149,AND(YEAR($C$12)=$B149,MONTH($C$12)&gt;E150)),0,IF($C$10="Lineair",$C$9,IF($C$10="Annuïteit",IFERROR((E153/(1-(1+$C$8/12)^-($C$7-D152)))-E153,0),0)))</f>
        <v>0</v>
      </c>
      <c r="F154" s="368">
        <f t="shared" ref="F154" ca="1" si="293">IF(OR(F151&lt;0.001,YEAR($C$12)&gt;$B149,AND(YEAR($C$12)=$B149,MONTH($C$12)&gt;F150)),0,IF($C$10="Lineair",$C$9,IF($C$10="Annuïteit",IFERROR((F153/(1-(1+$C$8/12)^-($C$7-E152)))-F153,0),0)))</f>
        <v>0</v>
      </c>
      <c r="G154" s="368">
        <f t="shared" ref="G154" ca="1" si="294">IF(OR(G151&lt;0.001,YEAR($C$12)&gt;$B149,AND(YEAR($C$12)=$B149,MONTH($C$12)&gt;G150)),0,IF($C$10="Lineair",$C$9,IF($C$10="Annuïteit",IFERROR((G153/(1-(1+$C$8/12)^-($C$7-F152)))-G153,0),0)))</f>
        <v>0</v>
      </c>
      <c r="H154" s="368">
        <f t="shared" ref="H154" ca="1" si="295">IF(OR(H151&lt;0.001,YEAR($C$12)&gt;$B149,AND(YEAR($C$12)=$B149,MONTH($C$12)&gt;H150)),0,IF($C$10="Lineair",$C$9,IF($C$10="Annuïteit",IFERROR((H153/(1-(1+$C$8/12)^-($C$7-G152)))-H153,0),0)))</f>
        <v>0</v>
      </c>
      <c r="I154" s="368">
        <f t="shared" ref="I154" ca="1" si="296">IF(OR(I151&lt;0.001,YEAR($C$12)&gt;$B149,AND(YEAR($C$12)=$B149,MONTH($C$12)&gt;I150)),0,IF($C$10="Lineair",$C$9,IF($C$10="Annuïteit",IFERROR((I153/(1-(1+$C$8/12)^-($C$7-H152)))-I153,0),0)))</f>
        <v>0</v>
      </c>
      <c r="J154" s="368">
        <f t="shared" ref="J154" ca="1" si="297">IF(OR(J151&lt;0.001,YEAR($C$12)&gt;$B149,AND(YEAR($C$12)=$B149,MONTH($C$12)&gt;J150)),0,IF($C$10="Lineair",$C$9,IF($C$10="Annuïteit",IFERROR((J153/(1-(1+$C$8/12)^-($C$7-I152)))-J153,0),0)))</f>
        <v>0</v>
      </c>
      <c r="K154" s="368">
        <f t="shared" ref="K154" ca="1" si="298">IF(OR(K151&lt;0.001,YEAR($C$12)&gt;$B149,AND(YEAR($C$12)=$B149,MONTH($C$12)&gt;K150)),0,IF($C$10="Lineair",$C$9,IF($C$10="Annuïteit",IFERROR((K153/(1-(1+$C$8/12)^-($C$7-J152)))-K153,0),0)))</f>
        <v>0</v>
      </c>
      <c r="L154" s="368">
        <f t="shared" ref="L154" ca="1" si="299">IF(OR(L151&lt;0.001,YEAR($C$12)&gt;$B149,AND(YEAR($C$12)=$B149,MONTH($C$12)&gt;L150)),0,IF($C$10="Lineair",$C$9,IF($C$10="Annuïteit",IFERROR((L153/(1-(1+$C$8/12)^-($C$7-K152)))-L153,0),0)))</f>
        <v>0</v>
      </c>
      <c r="M154" s="368">
        <f t="shared" ref="M154" ca="1" si="300">IF(OR(M151&lt;0.001,YEAR($C$12)&gt;$B149,AND(YEAR($C$12)=$B149,MONTH($C$12)&gt;M150)),0,IF($C$10="Lineair",$C$9,IF($C$10="Annuïteit",IFERROR((M153/(1-(1+$C$8/12)^-($C$7-L152)))-M153,0),0)))</f>
        <v>0</v>
      </c>
      <c r="N154" s="368">
        <f t="shared" ref="N154" ca="1" si="301">IF(OR(N151&lt;0.001,YEAR($C$12)&gt;$B149,AND(YEAR($C$12)=$B149,MONTH($C$12)&gt;N150)),0,IF($C$10="Lineair",$C$9,IF($C$10="Annuïteit",IFERROR((N153/(1-(1+$C$8/12)^-($C$7-M152)))-N153,0),0)))</f>
        <v>0</v>
      </c>
      <c r="O154" s="369">
        <f t="shared" ca="1" si="289"/>
        <v>0</v>
      </c>
    </row>
    <row r="155" spans="2:15" x14ac:dyDescent="0.25">
      <c r="B155" s="256" t="s">
        <v>101</v>
      </c>
      <c r="C155" s="372">
        <f t="shared" ref="C155:N155" ca="1" si="302">IF(AND(YEAR($C$11)=$B149,MONTH($C$11)=C150),$C$5,0)</f>
        <v>0</v>
      </c>
      <c r="D155" s="372">
        <f t="shared" ca="1" si="302"/>
        <v>0</v>
      </c>
      <c r="E155" s="372">
        <f t="shared" ca="1" si="302"/>
        <v>0</v>
      </c>
      <c r="F155" s="372">
        <f t="shared" ca="1" si="302"/>
        <v>0</v>
      </c>
      <c r="G155" s="372">
        <f t="shared" ca="1" si="302"/>
        <v>0</v>
      </c>
      <c r="H155" s="372">
        <f t="shared" ca="1" si="302"/>
        <v>0</v>
      </c>
      <c r="I155" s="372">
        <f t="shared" ca="1" si="302"/>
        <v>0</v>
      </c>
      <c r="J155" s="372">
        <f t="shared" ca="1" si="302"/>
        <v>0</v>
      </c>
      <c r="K155" s="372">
        <f t="shared" ca="1" si="302"/>
        <v>0</v>
      </c>
      <c r="L155" s="372">
        <f t="shared" ca="1" si="302"/>
        <v>0</v>
      </c>
      <c r="M155" s="372">
        <f t="shared" ca="1" si="302"/>
        <v>0</v>
      </c>
      <c r="N155" s="372">
        <f t="shared" ca="1" si="302"/>
        <v>0</v>
      </c>
      <c r="O155" s="369">
        <f t="shared" ca="1" si="289"/>
        <v>0</v>
      </c>
    </row>
    <row r="156" spans="2:15" x14ac:dyDescent="0.25">
      <c r="B156" s="373" t="s">
        <v>102</v>
      </c>
      <c r="C156" s="374">
        <f t="shared" ref="C156:N156" ca="1" si="303">SUM(C153:C155)</f>
        <v>0</v>
      </c>
      <c r="D156" s="374">
        <f t="shared" ca="1" si="303"/>
        <v>0</v>
      </c>
      <c r="E156" s="374">
        <f t="shared" ca="1" si="303"/>
        <v>0</v>
      </c>
      <c r="F156" s="374">
        <f t="shared" ca="1" si="303"/>
        <v>0</v>
      </c>
      <c r="G156" s="374">
        <f t="shared" ca="1" si="303"/>
        <v>0</v>
      </c>
      <c r="H156" s="374">
        <f t="shared" ca="1" si="303"/>
        <v>0</v>
      </c>
      <c r="I156" s="374">
        <f t="shared" ca="1" si="303"/>
        <v>0</v>
      </c>
      <c r="J156" s="374">
        <f t="shared" ca="1" si="303"/>
        <v>0</v>
      </c>
      <c r="K156" s="374">
        <f t="shared" ca="1" si="303"/>
        <v>0</v>
      </c>
      <c r="L156" s="374">
        <f t="shared" ca="1" si="303"/>
        <v>0</v>
      </c>
      <c r="M156" s="374">
        <f t="shared" ca="1" si="303"/>
        <v>0</v>
      </c>
      <c r="N156" s="374">
        <f t="shared" ca="1" si="303"/>
        <v>0</v>
      </c>
      <c r="O156" s="369">
        <f t="shared" ca="1" si="289"/>
        <v>0</v>
      </c>
    </row>
    <row r="157" spans="2:15" x14ac:dyDescent="0.25">
      <c r="B157" s="75"/>
      <c r="C157" s="75"/>
      <c r="D157" s="75"/>
      <c r="E157" s="75"/>
      <c r="F157" s="75"/>
      <c r="G157" s="75"/>
      <c r="H157" s="75"/>
      <c r="I157" s="75"/>
      <c r="J157" s="75"/>
      <c r="K157" s="75"/>
      <c r="L157" s="75"/>
      <c r="M157" s="75"/>
      <c r="N157" s="75"/>
      <c r="O157" s="75"/>
    </row>
    <row r="158" spans="2:15" x14ac:dyDescent="0.25">
      <c r="B158" s="351">
        <f t="shared" si="216"/>
        <v>2039</v>
      </c>
      <c r="C158" s="247" t="s">
        <v>181</v>
      </c>
      <c r="D158" s="247" t="s">
        <v>182</v>
      </c>
      <c r="E158" s="247" t="s">
        <v>183</v>
      </c>
      <c r="F158" s="247" t="s">
        <v>184</v>
      </c>
      <c r="G158" s="247" t="s">
        <v>185</v>
      </c>
      <c r="H158" s="247" t="s">
        <v>186</v>
      </c>
      <c r="I158" s="247" t="s">
        <v>187</v>
      </c>
      <c r="J158" s="247" t="s">
        <v>188</v>
      </c>
      <c r="K158" s="247" t="s">
        <v>189</v>
      </c>
      <c r="L158" s="247" t="s">
        <v>190</v>
      </c>
      <c r="M158" s="247" t="s">
        <v>191</v>
      </c>
      <c r="N158" s="247" t="s">
        <v>192</v>
      </c>
      <c r="O158" s="303" t="s">
        <v>408</v>
      </c>
    </row>
    <row r="159" spans="2:15" x14ac:dyDescent="0.25">
      <c r="B159" s="259"/>
      <c r="C159" s="301">
        <v>1</v>
      </c>
      <c r="D159" s="301">
        <v>2</v>
      </c>
      <c r="E159" s="301">
        <v>3</v>
      </c>
      <c r="F159" s="301">
        <v>4</v>
      </c>
      <c r="G159" s="301">
        <v>5</v>
      </c>
      <c r="H159" s="301">
        <v>6</v>
      </c>
      <c r="I159" s="301">
        <v>7</v>
      </c>
      <c r="J159" s="301">
        <v>8</v>
      </c>
      <c r="K159" s="301">
        <v>9</v>
      </c>
      <c r="L159" s="301">
        <v>10</v>
      </c>
      <c r="M159" s="301">
        <v>11</v>
      </c>
      <c r="N159" s="301">
        <v>12</v>
      </c>
      <c r="O159" s="302"/>
    </row>
    <row r="160" spans="2:15" x14ac:dyDescent="0.25">
      <c r="B160" s="259" t="s">
        <v>98</v>
      </c>
      <c r="C160" s="368">
        <f t="shared" ref="C160" ca="1" si="304">IF(AND(YEAR($C$11)=$B158,MONTH($C$11)=C159),$C$4,N151-N154)</f>
        <v>0</v>
      </c>
      <c r="D160" s="368">
        <f t="shared" ref="D160" ca="1" si="305">IF(AND(YEAR($C$11)=$B158,MONTH($C$11)=D159),$C$4,C160-C163)</f>
        <v>0</v>
      </c>
      <c r="E160" s="368">
        <f t="shared" ref="E160" ca="1" si="306">IF(AND(YEAR($C$11)=$B158,MONTH($C$11)=E159),$C$4,D160-D163)</f>
        <v>0</v>
      </c>
      <c r="F160" s="368">
        <f t="shared" ref="F160" ca="1" si="307">IF(AND(YEAR($C$11)=$B158,MONTH($C$11)=F159),$C$4,E160-E163)</f>
        <v>0</v>
      </c>
      <c r="G160" s="368">
        <f t="shared" ref="G160" ca="1" si="308">IF(AND(YEAR($C$11)=$B158,MONTH($C$11)=G159),$C$4,F160-F163)</f>
        <v>0</v>
      </c>
      <c r="H160" s="368">
        <f t="shared" ref="H160" ca="1" si="309">IF(AND(YEAR($C$11)=$B158,MONTH($C$11)=H159),$C$4,G160-G163)</f>
        <v>0</v>
      </c>
      <c r="I160" s="368">
        <f t="shared" ref="I160" ca="1" si="310">IF(AND(YEAR($C$11)=$B158,MONTH($C$11)=I159),$C$4,H160-H163)</f>
        <v>0</v>
      </c>
      <c r="J160" s="368">
        <f t="shared" ref="J160" ca="1" si="311">IF(AND(YEAR($C$11)=$B158,MONTH($C$11)=J159),$C$4,I160-I163)</f>
        <v>0</v>
      </c>
      <c r="K160" s="368">
        <f t="shared" ref="K160" ca="1" si="312">IF(AND(YEAR($C$11)=$B158,MONTH($C$11)=K159),$C$4,J160-J163)</f>
        <v>0</v>
      </c>
      <c r="L160" s="368">
        <f t="shared" ref="L160" ca="1" si="313">IF(AND(YEAR($C$11)=$B158,MONTH($C$11)=L159),$C$4,K160-K163)</f>
        <v>0</v>
      </c>
      <c r="M160" s="368">
        <f t="shared" ref="M160" ca="1" si="314">IF(AND(YEAR($C$11)=$B158,MONTH($C$11)=M159),$C$4,L160-L163)</f>
        <v>0</v>
      </c>
      <c r="N160" s="368">
        <f t="shared" ref="N160" ca="1" si="315">IF(AND(YEAR($C$11)=$B158,MONTH($C$11)=N159),$C$4,M160-M163)</f>
        <v>0</v>
      </c>
      <c r="O160" s="369"/>
    </row>
    <row r="161" spans="2:15" x14ac:dyDescent="0.25">
      <c r="B161" s="259"/>
      <c r="C161" s="370">
        <f t="shared" ref="C161:N161" ca="1" si="316">C152+12</f>
        <v>186</v>
      </c>
      <c r="D161" s="370">
        <f t="shared" ca="1" si="316"/>
        <v>187</v>
      </c>
      <c r="E161" s="370">
        <f t="shared" ca="1" si="316"/>
        <v>188</v>
      </c>
      <c r="F161" s="370">
        <f t="shared" ca="1" si="316"/>
        <v>189</v>
      </c>
      <c r="G161" s="370">
        <f t="shared" ca="1" si="316"/>
        <v>190</v>
      </c>
      <c r="H161" s="370">
        <f t="shared" ca="1" si="316"/>
        <v>191</v>
      </c>
      <c r="I161" s="370">
        <f t="shared" ca="1" si="316"/>
        <v>192</v>
      </c>
      <c r="J161" s="370">
        <f t="shared" ca="1" si="316"/>
        <v>193</v>
      </c>
      <c r="K161" s="370">
        <f t="shared" ca="1" si="316"/>
        <v>194</v>
      </c>
      <c r="L161" s="370">
        <f t="shared" ca="1" si="316"/>
        <v>195</v>
      </c>
      <c r="M161" s="370">
        <f t="shared" ca="1" si="316"/>
        <v>196</v>
      </c>
      <c r="N161" s="370">
        <f t="shared" ca="1" si="316"/>
        <v>197</v>
      </c>
      <c r="O161" s="371"/>
    </row>
    <row r="162" spans="2:15" x14ac:dyDescent="0.25">
      <c r="B162" s="259" t="s">
        <v>99</v>
      </c>
      <c r="C162" s="368">
        <f t="shared" ref="C162:N162" ca="1" si="317">IF(C160&lt;0.001,0,($C$8/12)*C160)</f>
        <v>0</v>
      </c>
      <c r="D162" s="368">
        <f t="shared" ca="1" si="317"/>
        <v>0</v>
      </c>
      <c r="E162" s="368">
        <f t="shared" ca="1" si="317"/>
        <v>0</v>
      </c>
      <c r="F162" s="368">
        <f t="shared" ca="1" si="317"/>
        <v>0</v>
      </c>
      <c r="G162" s="368">
        <f t="shared" ca="1" si="317"/>
        <v>0</v>
      </c>
      <c r="H162" s="368">
        <f t="shared" ca="1" si="317"/>
        <v>0</v>
      </c>
      <c r="I162" s="368">
        <f t="shared" ca="1" si="317"/>
        <v>0</v>
      </c>
      <c r="J162" s="368">
        <f t="shared" ca="1" si="317"/>
        <v>0</v>
      </c>
      <c r="K162" s="368">
        <f t="shared" ca="1" si="317"/>
        <v>0</v>
      </c>
      <c r="L162" s="368">
        <f t="shared" ca="1" si="317"/>
        <v>0</v>
      </c>
      <c r="M162" s="368">
        <f t="shared" ca="1" si="317"/>
        <v>0</v>
      </c>
      <c r="N162" s="368">
        <f t="shared" ca="1" si="317"/>
        <v>0</v>
      </c>
      <c r="O162" s="369">
        <f t="shared" ref="O162:O165" ca="1" si="318">SUM(C162:N162)</f>
        <v>0</v>
      </c>
    </row>
    <row r="163" spans="2:15" x14ac:dyDescent="0.25">
      <c r="B163" s="259" t="s">
        <v>100</v>
      </c>
      <c r="C163" s="368">
        <f t="shared" ref="C163" ca="1" si="319">IF(OR(C160&lt;0.001,YEAR($C$12)&gt;$B158,AND(YEAR($C$12)=$B158,MONTH($C$12)&gt;C159)),0,IF($C$10="Lineair",$C$9,IF($C$10="Annuïteit",IFERROR((C162/(1-(1+$C$8/12)^-($C$7-N152)))-C162,0),0)))</f>
        <v>0</v>
      </c>
      <c r="D163" s="368">
        <f t="shared" ref="D163" ca="1" si="320">IF(OR(D160&lt;0.001,YEAR($C$12)&gt;$B158,AND(YEAR($C$12)=$B158,MONTH($C$12)&gt;D159)),0,IF($C$10="Lineair",$C$9,IF($C$10="Annuïteit",IFERROR((D162/(1-(1+$C$8/12)^-($C$7-C161)))-D162,0),0)))</f>
        <v>0</v>
      </c>
      <c r="E163" s="368">
        <f t="shared" ref="E163" ca="1" si="321">IF(OR(E160&lt;0.001,YEAR($C$12)&gt;$B158,AND(YEAR($C$12)=$B158,MONTH($C$12)&gt;E159)),0,IF($C$10="Lineair",$C$9,IF($C$10="Annuïteit",IFERROR((E162/(1-(1+$C$8/12)^-($C$7-D161)))-E162,0),0)))</f>
        <v>0</v>
      </c>
      <c r="F163" s="368">
        <f t="shared" ref="F163" ca="1" si="322">IF(OR(F160&lt;0.001,YEAR($C$12)&gt;$B158,AND(YEAR($C$12)=$B158,MONTH($C$12)&gt;F159)),0,IF($C$10="Lineair",$C$9,IF($C$10="Annuïteit",IFERROR((F162/(1-(1+$C$8/12)^-($C$7-E161)))-F162,0),0)))</f>
        <v>0</v>
      </c>
      <c r="G163" s="368">
        <f t="shared" ref="G163" ca="1" si="323">IF(OR(G160&lt;0.001,YEAR($C$12)&gt;$B158,AND(YEAR($C$12)=$B158,MONTH($C$12)&gt;G159)),0,IF($C$10="Lineair",$C$9,IF($C$10="Annuïteit",IFERROR((G162/(1-(1+$C$8/12)^-($C$7-F161)))-G162,0),0)))</f>
        <v>0</v>
      </c>
      <c r="H163" s="368">
        <f t="shared" ref="H163" ca="1" si="324">IF(OR(H160&lt;0.001,YEAR($C$12)&gt;$B158,AND(YEAR($C$12)=$B158,MONTH($C$12)&gt;H159)),0,IF($C$10="Lineair",$C$9,IF($C$10="Annuïteit",IFERROR((H162/(1-(1+$C$8/12)^-($C$7-G161)))-H162,0),0)))</f>
        <v>0</v>
      </c>
      <c r="I163" s="368">
        <f t="shared" ref="I163" ca="1" si="325">IF(OR(I160&lt;0.001,YEAR($C$12)&gt;$B158,AND(YEAR($C$12)=$B158,MONTH($C$12)&gt;I159)),0,IF($C$10="Lineair",$C$9,IF($C$10="Annuïteit",IFERROR((I162/(1-(1+$C$8/12)^-($C$7-H161)))-I162,0),0)))</f>
        <v>0</v>
      </c>
      <c r="J163" s="368">
        <f t="shared" ref="J163" ca="1" si="326">IF(OR(J160&lt;0.001,YEAR($C$12)&gt;$B158,AND(YEAR($C$12)=$B158,MONTH($C$12)&gt;J159)),0,IF($C$10="Lineair",$C$9,IF($C$10="Annuïteit",IFERROR((J162/(1-(1+$C$8/12)^-($C$7-I161)))-J162,0),0)))</f>
        <v>0</v>
      </c>
      <c r="K163" s="368">
        <f t="shared" ref="K163" ca="1" si="327">IF(OR(K160&lt;0.001,YEAR($C$12)&gt;$B158,AND(YEAR($C$12)=$B158,MONTH($C$12)&gt;K159)),0,IF($C$10="Lineair",$C$9,IF($C$10="Annuïteit",IFERROR((K162/(1-(1+$C$8/12)^-($C$7-J161)))-K162,0),0)))</f>
        <v>0</v>
      </c>
      <c r="L163" s="368">
        <f t="shared" ref="L163" ca="1" si="328">IF(OR(L160&lt;0.001,YEAR($C$12)&gt;$B158,AND(YEAR($C$12)=$B158,MONTH($C$12)&gt;L159)),0,IF($C$10="Lineair",$C$9,IF($C$10="Annuïteit",IFERROR((L162/(1-(1+$C$8/12)^-($C$7-K161)))-L162,0),0)))</f>
        <v>0</v>
      </c>
      <c r="M163" s="368">
        <f t="shared" ref="M163" ca="1" si="329">IF(OR(M160&lt;0.001,YEAR($C$12)&gt;$B158,AND(YEAR($C$12)=$B158,MONTH($C$12)&gt;M159)),0,IF($C$10="Lineair",$C$9,IF($C$10="Annuïteit",IFERROR((M162/(1-(1+$C$8/12)^-($C$7-L161)))-M162,0),0)))</f>
        <v>0</v>
      </c>
      <c r="N163" s="368">
        <f t="shared" ref="N163" ca="1" si="330">IF(OR(N160&lt;0.001,YEAR($C$12)&gt;$B158,AND(YEAR($C$12)=$B158,MONTH($C$12)&gt;N159)),0,IF($C$10="Lineair",$C$9,IF($C$10="Annuïteit",IFERROR((N162/(1-(1+$C$8/12)^-($C$7-M161)))-N162,0),0)))</f>
        <v>0</v>
      </c>
      <c r="O163" s="369">
        <f t="shared" ca="1" si="318"/>
        <v>0</v>
      </c>
    </row>
    <row r="164" spans="2:15" x14ac:dyDescent="0.25">
      <c r="B164" s="256" t="s">
        <v>101</v>
      </c>
      <c r="C164" s="372">
        <f t="shared" ref="C164:N164" ca="1" si="331">IF(AND(YEAR($C$11)=$B158,MONTH($C$11)=C159),$C$5,0)</f>
        <v>0</v>
      </c>
      <c r="D164" s="372">
        <f t="shared" ca="1" si="331"/>
        <v>0</v>
      </c>
      <c r="E164" s="372">
        <f t="shared" ca="1" si="331"/>
        <v>0</v>
      </c>
      <c r="F164" s="372">
        <f t="shared" ca="1" si="331"/>
        <v>0</v>
      </c>
      <c r="G164" s="372">
        <f t="shared" ca="1" si="331"/>
        <v>0</v>
      </c>
      <c r="H164" s="372">
        <f t="shared" ca="1" si="331"/>
        <v>0</v>
      </c>
      <c r="I164" s="372">
        <f t="shared" ca="1" si="331"/>
        <v>0</v>
      </c>
      <c r="J164" s="372">
        <f t="shared" ca="1" si="331"/>
        <v>0</v>
      </c>
      <c r="K164" s="372">
        <f t="shared" ca="1" si="331"/>
        <v>0</v>
      </c>
      <c r="L164" s="372">
        <f t="shared" ca="1" si="331"/>
        <v>0</v>
      </c>
      <c r="M164" s="372">
        <f t="shared" ca="1" si="331"/>
        <v>0</v>
      </c>
      <c r="N164" s="372">
        <f t="shared" ca="1" si="331"/>
        <v>0</v>
      </c>
      <c r="O164" s="369">
        <f t="shared" ca="1" si="318"/>
        <v>0</v>
      </c>
    </row>
    <row r="165" spans="2:15" x14ac:dyDescent="0.25">
      <c r="B165" s="373" t="s">
        <v>102</v>
      </c>
      <c r="C165" s="374">
        <f t="shared" ref="C165:N165" ca="1" si="332">SUM(C162:C164)</f>
        <v>0</v>
      </c>
      <c r="D165" s="374">
        <f t="shared" ca="1" si="332"/>
        <v>0</v>
      </c>
      <c r="E165" s="374">
        <f t="shared" ca="1" si="332"/>
        <v>0</v>
      </c>
      <c r="F165" s="374">
        <f t="shared" ca="1" si="332"/>
        <v>0</v>
      </c>
      <c r="G165" s="374">
        <f t="shared" ca="1" si="332"/>
        <v>0</v>
      </c>
      <c r="H165" s="374">
        <f t="shared" ca="1" si="332"/>
        <v>0</v>
      </c>
      <c r="I165" s="374">
        <f t="shared" ca="1" si="332"/>
        <v>0</v>
      </c>
      <c r="J165" s="374">
        <f t="shared" ca="1" si="332"/>
        <v>0</v>
      </c>
      <c r="K165" s="374">
        <f t="shared" ca="1" si="332"/>
        <v>0</v>
      </c>
      <c r="L165" s="374">
        <f t="shared" ca="1" si="332"/>
        <v>0</v>
      </c>
      <c r="M165" s="374">
        <f t="shared" ca="1" si="332"/>
        <v>0</v>
      </c>
      <c r="N165" s="374">
        <f t="shared" ca="1" si="332"/>
        <v>0</v>
      </c>
      <c r="O165" s="369">
        <f t="shared" ca="1" si="318"/>
        <v>0</v>
      </c>
    </row>
    <row r="166" spans="2:15" x14ac:dyDescent="0.25">
      <c r="B166" s="75"/>
      <c r="C166" s="75"/>
      <c r="D166" s="75"/>
      <c r="E166" s="75"/>
      <c r="F166" s="75"/>
      <c r="G166" s="75"/>
      <c r="H166" s="75"/>
      <c r="I166" s="75"/>
      <c r="J166" s="75"/>
      <c r="K166" s="75"/>
      <c r="L166" s="75"/>
      <c r="M166" s="75"/>
      <c r="N166" s="75"/>
      <c r="O166" s="75"/>
    </row>
    <row r="167" spans="2:15" x14ac:dyDescent="0.25">
      <c r="B167" s="351">
        <f t="shared" si="216"/>
        <v>2040</v>
      </c>
      <c r="C167" s="247" t="s">
        <v>181</v>
      </c>
      <c r="D167" s="247" t="s">
        <v>182</v>
      </c>
      <c r="E167" s="247" t="s">
        <v>183</v>
      </c>
      <c r="F167" s="247" t="s">
        <v>184</v>
      </c>
      <c r="G167" s="247" t="s">
        <v>185</v>
      </c>
      <c r="H167" s="247" t="s">
        <v>186</v>
      </c>
      <c r="I167" s="247" t="s">
        <v>187</v>
      </c>
      <c r="J167" s="247" t="s">
        <v>188</v>
      </c>
      <c r="K167" s="247" t="s">
        <v>189</v>
      </c>
      <c r="L167" s="247" t="s">
        <v>190</v>
      </c>
      <c r="M167" s="247" t="s">
        <v>191</v>
      </c>
      <c r="N167" s="247" t="s">
        <v>192</v>
      </c>
      <c r="O167" s="303" t="s">
        <v>408</v>
      </c>
    </row>
    <row r="168" spans="2:15" x14ac:dyDescent="0.25">
      <c r="B168" s="259"/>
      <c r="C168" s="301">
        <v>1</v>
      </c>
      <c r="D168" s="301">
        <v>2</v>
      </c>
      <c r="E168" s="301">
        <v>3</v>
      </c>
      <c r="F168" s="301">
        <v>4</v>
      </c>
      <c r="G168" s="301">
        <v>5</v>
      </c>
      <c r="H168" s="301">
        <v>6</v>
      </c>
      <c r="I168" s="301">
        <v>7</v>
      </c>
      <c r="J168" s="301">
        <v>8</v>
      </c>
      <c r="K168" s="301">
        <v>9</v>
      </c>
      <c r="L168" s="301">
        <v>10</v>
      </c>
      <c r="M168" s="301">
        <v>11</v>
      </c>
      <c r="N168" s="301">
        <v>12</v>
      </c>
      <c r="O168" s="302"/>
    </row>
    <row r="169" spans="2:15" x14ac:dyDescent="0.25">
      <c r="B169" s="259" t="s">
        <v>98</v>
      </c>
      <c r="C169" s="368">
        <f t="shared" ref="C169" ca="1" si="333">IF(AND(YEAR($C$11)=$B167,MONTH($C$11)=C168),$C$4,N160-N163)</f>
        <v>0</v>
      </c>
      <c r="D169" s="368">
        <f t="shared" ref="D169" ca="1" si="334">IF(AND(YEAR($C$11)=$B167,MONTH($C$11)=D168),$C$4,C169-C172)</f>
        <v>0</v>
      </c>
      <c r="E169" s="368">
        <f t="shared" ref="E169" ca="1" si="335">IF(AND(YEAR($C$11)=$B167,MONTH($C$11)=E168),$C$4,D169-D172)</f>
        <v>0</v>
      </c>
      <c r="F169" s="368">
        <f t="shared" ref="F169" ca="1" si="336">IF(AND(YEAR($C$11)=$B167,MONTH($C$11)=F168),$C$4,E169-E172)</f>
        <v>0</v>
      </c>
      <c r="G169" s="368">
        <f t="shared" ref="G169" ca="1" si="337">IF(AND(YEAR($C$11)=$B167,MONTH($C$11)=G168),$C$4,F169-F172)</f>
        <v>0</v>
      </c>
      <c r="H169" s="368">
        <f t="shared" ref="H169" ca="1" si="338">IF(AND(YEAR($C$11)=$B167,MONTH($C$11)=H168),$C$4,G169-G172)</f>
        <v>0</v>
      </c>
      <c r="I169" s="368">
        <f t="shared" ref="I169" ca="1" si="339">IF(AND(YEAR($C$11)=$B167,MONTH($C$11)=I168),$C$4,H169-H172)</f>
        <v>0</v>
      </c>
      <c r="J169" s="368">
        <f t="shared" ref="J169" ca="1" si="340">IF(AND(YEAR($C$11)=$B167,MONTH($C$11)=J168),$C$4,I169-I172)</f>
        <v>0</v>
      </c>
      <c r="K169" s="368">
        <f t="shared" ref="K169" ca="1" si="341">IF(AND(YEAR($C$11)=$B167,MONTH($C$11)=K168),$C$4,J169-J172)</f>
        <v>0</v>
      </c>
      <c r="L169" s="368">
        <f t="shared" ref="L169" ca="1" si="342">IF(AND(YEAR($C$11)=$B167,MONTH($C$11)=L168),$C$4,K169-K172)</f>
        <v>0</v>
      </c>
      <c r="M169" s="368">
        <f t="shared" ref="M169" ca="1" si="343">IF(AND(YEAR($C$11)=$B167,MONTH($C$11)=M168),$C$4,L169-L172)</f>
        <v>0</v>
      </c>
      <c r="N169" s="368">
        <f t="shared" ref="N169" ca="1" si="344">IF(AND(YEAR($C$11)=$B167,MONTH($C$11)=N168),$C$4,M169-M172)</f>
        <v>0</v>
      </c>
      <c r="O169" s="369"/>
    </row>
    <row r="170" spans="2:15" x14ac:dyDescent="0.25">
      <c r="B170" s="259"/>
      <c r="C170" s="370">
        <f t="shared" ref="C170:N170" ca="1" si="345">C161+12</f>
        <v>198</v>
      </c>
      <c r="D170" s="370">
        <f t="shared" ca="1" si="345"/>
        <v>199</v>
      </c>
      <c r="E170" s="370">
        <f t="shared" ca="1" si="345"/>
        <v>200</v>
      </c>
      <c r="F170" s="370">
        <f t="shared" ca="1" si="345"/>
        <v>201</v>
      </c>
      <c r="G170" s="370">
        <f t="shared" ca="1" si="345"/>
        <v>202</v>
      </c>
      <c r="H170" s="370">
        <f t="shared" ca="1" si="345"/>
        <v>203</v>
      </c>
      <c r="I170" s="370">
        <f t="shared" ca="1" si="345"/>
        <v>204</v>
      </c>
      <c r="J170" s="370">
        <f t="shared" ca="1" si="345"/>
        <v>205</v>
      </c>
      <c r="K170" s="370">
        <f t="shared" ca="1" si="345"/>
        <v>206</v>
      </c>
      <c r="L170" s="370">
        <f t="shared" ca="1" si="345"/>
        <v>207</v>
      </c>
      <c r="M170" s="370">
        <f t="shared" ca="1" si="345"/>
        <v>208</v>
      </c>
      <c r="N170" s="370">
        <f t="shared" ca="1" si="345"/>
        <v>209</v>
      </c>
      <c r="O170" s="371"/>
    </row>
    <row r="171" spans="2:15" x14ac:dyDescent="0.25">
      <c r="B171" s="259" t="s">
        <v>99</v>
      </c>
      <c r="C171" s="368">
        <f t="shared" ref="C171:N171" ca="1" si="346">IF(C169&lt;0.001,0,($C$8/12)*C169)</f>
        <v>0</v>
      </c>
      <c r="D171" s="368">
        <f t="shared" ca="1" si="346"/>
        <v>0</v>
      </c>
      <c r="E171" s="368">
        <f t="shared" ca="1" si="346"/>
        <v>0</v>
      </c>
      <c r="F171" s="368">
        <f t="shared" ca="1" si="346"/>
        <v>0</v>
      </c>
      <c r="G171" s="368">
        <f t="shared" ca="1" si="346"/>
        <v>0</v>
      </c>
      <c r="H171" s="368">
        <f t="shared" ca="1" si="346"/>
        <v>0</v>
      </c>
      <c r="I171" s="368">
        <f t="shared" ca="1" si="346"/>
        <v>0</v>
      </c>
      <c r="J171" s="368">
        <f t="shared" ca="1" si="346"/>
        <v>0</v>
      </c>
      <c r="K171" s="368">
        <f t="shared" ca="1" si="346"/>
        <v>0</v>
      </c>
      <c r="L171" s="368">
        <f t="shared" ca="1" si="346"/>
        <v>0</v>
      </c>
      <c r="M171" s="368">
        <f t="shared" ca="1" si="346"/>
        <v>0</v>
      </c>
      <c r="N171" s="368">
        <f t="shared" ca="1" si="346"/>
        <v>0</v>
      </c>
      <c r="O171" s="369">
        <f t="shared" ref="O171:O174" ca="1" si="347">SUM(C171:N171)</f>
        <v>0</v>
      </c>
    </row>
    <row r="172" spans="2:15" x14ac:dyDescent="0.25">
      <c r="B172" s="259" t="s">
        <v>100</v>
      </c>
      <c r="C172" s="368">
        <f t="shared" ref="C172" ca="1" si="348">IF(OR(C169&lt;0.001,YEAR($C$12)&gt;$B167,AND(YEAR($C$12)=$B167,MONTH($C$12)&gt;C168)),0,IF($C$10="Lineair",$C$9,IF($C$10="Annuïteit",IFERROR((C171/(1-(1+$C$8/12)^-($C$7-N161)))-C171,0),0)))</f>
        <v>0</v>
      </c>
      <c r="D172" s="368">
        <f t="shared" ref="D172" ca="1" si="349">IF(OR(D169&lt;0.001,YEAR($C$12)&gt;$B167,AND(YEAR($C$12)=$B167,MONTH($C$12)&gt;D168)),0,IF($C$10="Lineair",$C$9,IF($C$10="Annuïteit",IFERROR((D171/(1-(1+$C$8/12)^-($C$7-C170)))-D171,0),0)))</f>
        <v>0</v>
      </c>
      <c r="E172" s="368">
        <f t="shared" ref="E172" ca="1" si="350">IF(OR(E169&lt;0.001,YEAR($C$12)&gt;$B167,AND(YEAR($C$12)=$B167,MONTH($C$12)&gt;E168)),0,IF($C$10="Lineair",$C$9,IF($C$10="Annuïteit",IFERROR((E171/(1-(1+$C$8/12)^-($C$7-D170)))-E171,0),0)))</f>
        <v>0</v>
      </c>
      <c r="F172" s="368">
        <f t="shared" ref="F172" ca="1" si="351">IF(OR(F169&lt;0.001,YEAR($C$12)&gt;$B167,AND(YEAR($C$12)=$B167,MONTH($C$12)&gt;F168)),0,IF($C$10="Lineair",$C$9,IF($C$10="Annuïteit",IFERROR((F171/(1-(1+$C$8/12)^-($C$7-E170)))-F171,0),0)))</f>
        <v>0</v>
      </c>
      <c r="G172" s="368">
        <f t="shared" ref="G172" ca="1" si="352">IF(OR(G169&lt;0.001,YEAR($C$12)&gt;$B167,AND(YEAR($C$12)=$B167,MONTH($C$12)&gt;G168)),0,IF($C$10="Lineair",$C$9,IF($C$10="Annuïteit",IFERROR((G171/(1-(1+$C$8/12)^-($C$7-F170)))-G171,0),0)))</f>
        <v>0</v>
      </c>
      <c r="H172" s="368">
        <f t="shared" ref="H172" ca="1" si="353">IF(OR(H169&lt;0.001,YEAR($C$12)&gt;$B167,AND(YEAR($C$12)=$B167,MONTH($C$12)&gt;H168)),0,IF($C$10="Lineair",$C$9,IF($C$10="Annuïteit",IFERROR((H171/(1-(1+$C$8/12)^-($C$7-G170)))-H171,0),0)))</f>
        <v>0</v>
      </c>
      <c r="I172" s="368">
        <f t="shared" ref="I172" ca="1" si="354">IF(OR(I169&lt;0.001,YEAR($C$12)&gt;$B167,AND(YEAR($C$12)=$B167,MONTH($C$12)&gt;I168)),0,IF($C$10="Lineair",$C$9,IF($C$10="Annuïteit",IFERROR((I171/(1-(1+$C$8/12)^-($C$7-H170)))-I171,0),0)))</f>
        <v>0</v>
      </c>
      <c r="J172" s="368">
        <f t="shared" ref="J172" ca="1" si="355">IF(OR(J169&lt;0.001,YEAR($C$12)&gt;$B167,AND(YEAR($C$12)=$B167,MONTH($C$12)&gt;J168)),0,IF($C$10="Lineair",$C$9,IF($C$10="Annuïteit",IFERROR((J171/(1-(1+$C$8/12)^-($C$7-I170)))-J171,0),0)))</f>
        <v>0</v>
      </c>
      <c r="K172" s="368">
        <f t="shared" ref="K172" ca="1" si="356">IF(OR(K169&lt;0.001,YEAR($C$12)&gt;$B167,AND(YEAR($C$12)=$B167,MONTH($C$12)&gt;K168)),0,IF($C$10="Lineair",$C$9,IF($C$10="Annuïteit",IFERROR((K171/(1-(1+$C$8/12)^-($C$7-J170)))-K171,0),0)))</f>
        <v>0</v>
      </c>
      <c r="L172" s="368">
        <f t="shared" ref="L172" ca="1" si="357">IF(OR(L169&lt;0.001,YEAR($C$12)&gt;$B167,AND(YEAR($C$12)=$B167,MONTH($C$12)&gt;L168)),0,IF($C$10="Lineair",$C$9,IF($C$10="Annuïteit",IFERROR((L171/(1-(1+$C$8/12)^-($C$7-K170)))-L171,0),0)))</f>
        <v>0</v>
      </c>
      <c r="M172" s="368">
        <f t="shared" ref="M172" ca="1" si="358">IF(OR(M169&lt;0.001,YEAR($C$12)&gt;$B167,AND(YEAR($C$12)=$B167,MONTH($C$12)&gt;M168)),0,IF($C$10="Lineair",$C$9,IF($C$10="Annuïteit",IFERROR((M171/(1-(1+$C$8/12)^-($C$7-L170)))-M171,0),0)))</f>
        <v>0</v>
      </c>
      <c r="N172" s="368">
        <f t="shared" ref="N172" ca="1" si="359">IF(OR(N169&lt;0.001,YEAR($C$12)&gt;$B167,AND(YEAR($C$12)=$B167,MONTH($C$12)&gt;N168)),0,IF($C$10="Lineair",$C$9,IF($C$10="Annuïteit",IFERROR((N171/(1-(1+$C$8/12)^-($C$7-M170)))-N171,0),0)))</f>
        <v>0</v>
      </c>
      <c r="O172" s="369">
        <f t="shared" ca="1" si="347"/>
        <v>0</v>
      </c>
    </row>
    <row r="173" spans="2:15" x14ac:dyDescent="0.25">
      <c r="B173" s="256" t="s">
        <v>101</v>
      </c>
      <c r="C173" s="372">
        <f t="shared" ref="C173:N173" ca="1" si="360">IF(AND(YEAR($C$11)=$B167,MONTH($C$11)=C168),$C$5,0)</f>
        <v>0</v>
      </c>
      <c r="D173" s="372">
        <f t="shared" ca="1" si="360"/>
        <v>0</v>
      </c>
      <c r="E173" s="372">
        <f t="shared" ca="1" si="360"/>
        <v>0</v>
      </c>
      <c r="F173" s="372">
        <f t="shared" ca="1" si="360"/>
        <v>0</v>
      </c>
      <c r="G173" s="372">
        <f t="shared" ca="1" si="360"/>
        <v>0</v>
      </c>
      <c r="H173" s="372">
        <f t="shared" ca="1" si="360"/>
        <v>0</v>
      </c>
      <c r="I173" s="372">
        <f t="shared" ca="1" si="360"/>
        <v>0</v>
      </c>
      <c r="J173" s="372">
        <f t="shared" ca="1" si="360"/>
        <v>0</v>
      </c>
      <c r="K173" s="372">
        <f t="shared" ca="1" si="360"/>
        <v>0</v>
      </c>
      <c r="L173" s="372">
        <f t="shared" ca="1" si="360"/>
        <v>0</v>
      </c>
      <c r="M173" s="372">
        <f t="shared" ca="1" si="360"/>
        <v>0</v>
      </c>
      <c r="N173" s="372">
        <f t="shared" ca="1" si="360"/>
        <v>0</v>
      </c>
      <c r="O173" s="369">
        <f t="shared" ca="1" si="347"/>
        <v>0</v>
      </c>
    </row>
    <row r="174" spans="2:15" x14ac:dyDescent="0.25">
      <c r="B174" s="373" t="s">
        <v>102</v>
      </c>
      <c r="C174" s="374">
        <f t="shared" ref="C174:N174" ca="1" si="361">SUM(C171:C173)</f>
        <v>0</v>
      </c>
      <c r="D174" s="374">
        <f t="shared" ca="1" si="361"/>
        <v>0</v>
      </c>
      <c r="E174" s="374">
        <f t="shared" ca="1" si="361"/>
        <v>0</v>
      </c>
      <c r="F174" s="374">
        <f t="shared" ca="1" si="361"/>
        <v>0</v>
      </c>
      <c r="G174" s="374">
        <f t="shared" ca="1" si="361"/>
        <v>0</v>
      </c>
      <c r="H174" s="374">
        <f t="shared" ca="1" si="361"/>
        <v>0</v>
      </c>
      <c r="I174" s="374">
        <f t="shared" ca="1" si="361"/>
        <v>0</v>
      </c>
      <c r="J174" s="374">
        <f t="shared" ca="1" si="361"/>
        <v>0</v>
      </c>
      <c r="K174" s="374">
        <f t="shared" ca="1" si="361"/>
        <v>0</v>
      </c>
      <c r="L174" s="374">
        <f t="shared" ca="1" si="361"/>
        <v>0</v>
      </c>
      <c r="M174" s="374">
        <f t="shared" ca="1" si="361"/>
        <v>0</v>
      </c>
      <c r="N174" s="374">
        <f t="shared" ca="1" si="361"/>
        <v>0</v>
      </c>
      <c r="O174" s="369">
        <f t="shared" ca="1" si="347"/>
        <v>0</v>
      </c>
    </row>
    <row r="175" spans="2:15" x14ac:dyDescent="0.25">
      <c r="B175" s="75"/>
      <c r="C175" s="75"/>
      <c r="D175" s="75"/>
      <c r="E175" s="75"/>
      <c r="F175" s="75"/>
      <c r="G175" s="75"/>
      <c r="H175" s="75"/>
      <c r="I175" s="75"/>
      <c r="J175" s="75"/>
      <c r="K175" s="75"/>
      <c r="L175" s="75"/>
      <c r="M175" s="75"/>
      <c r="N175" s="75"/>
      <c r="O175" s="75"/>
    </row>
    <row r="176" spans="2:15" x14ac:dyDescent="0.25">
      <c r="B176" s="351">
        <f t="shared" si="216"/>
        <v>2041</v>
      </c>
      <c r="C176" s="247" t="s">
        <v>181</v>
      </c>
      <c r="D176" s="247" t="s">
        <v>182</v>
      </c>
      <c r="E176" s="247" t="s">
        <v>183</v>
      </c>
      <c r="F176" s="247" t="s">
        <v>184</v>
      </c>
      <c r="G176" s="247" t="s">
        <v>185</v>
      </c>
      <c r="H176" s="247" t="s">
        <v>186</v>
      </c>
      <c r="I176" s="247" t="s">
        <v>187</v>
      </c>
      <c r="J176" s="247" t="s">
        <v>188</v>
      </c>
      <c r="K176" s="247" t="s">
        <v>189</v>
      </c>
      <c r="L176" s="247" t="s">
        <v>190</v>
      </c>
      <c r="M176" s="247" t="s">
        <v>191</v>
      </c>
      <c r="N176" s="247" t="s">
        <v>192</v>
      </c>
      <c r="O176" s="303" t="s">
        <v>408</v>
      </c>
    </row>
    <row r="177" spans="2:15" x14ac:dyDescent="0.25">
      <c r="B177" s="259"/>
      <c r="C177" s="301">
        <v>1</v>
      </c>
      <c r="D177" s="301">
        <v>2</v>
      </c>
      <c r="E177" s="301">
        <v>3</v>
      </c>
      <c r="F177" s="301">
        <v>4</v>
      </c>
      <c r="G177" s="301">
        <v>5</v>
      </c>
      <c r="H177" s="301">
        <v>6</v>
      </c>
      <c r="I177" s="301">
        <v>7</v>
      </c>
      <c r="J177" s="301">
        <v>8</v>
      </c>
      <c r="K177" s="301">
        <v>9</v>
      </c>
      <c r="L177" s="301">
        <v>10</v>
      </c>
      <c r="M177" s="301">
        <v>11</v>
      </c>
      <c r="N177" s="301">
        <v>12</v>
      </c>
      <c r="O177" s="302"/>
    </row>
    <row r="178" spans="2:15" x14ac:dyDescent="0.25">
      <c r="B178" s="259" t="s">
        <v>98</v>
      </c>
      <c r="C178" s="368">
        <f t="shared" ref="C178" ca="1" si="362">IF(AND(YEAR($C$11)=$B176,MONTH($C$11)=C177),$C$4,N169-N172)</f>
        <v>0</v>
      </c>
      <c r="D178" s="368">
        <f t="shared" ref="D178" ca="1" si="363">IF(AND(YEAR($C$11)=$B176,MONTH($C$11)=D177),$C$4,C178-C181)</f>
        <v>0</v>
      </c>
      <c r="E178" s="368">
        <f t="shared" ref="E178" ca="1" si="364">IF(AND(YEAR($C$11)=$B176,MONTH($C$11)=E177),$C$4,D178-D181)</f>
        <v>0</v>
      </c>
      <c r="F178" s="368">
        <f t="shared" ref="F178" ca="1" si="365">IF(AND(YEAR($C$11)=$B176,MONTH($C$11)=F177),$C$4,E178-E181)</f>
        <v>0</v>
      </c>
      <c r="G178" s="368">
        <f t="shared" ref="G178" ca="1" si="366">IF(AND(YEAR($C$11)=$B176,MONTH($C$11)=G177),$C$4,F178-F181)</f>
        <v>0</v>
      </c>
      <c r="H178" s="368">
        <f t="shared" ref="H178" ca="1" si="367">IF(AND(YEAR($C$11)=$B176,MONTH($C$11)=H177),$C$4,G178-G181)</f>
        <v>0</v>
      </c>
      <c r="I178" s="368">
        <f t="shared" ref="I178" ca="1" si="368">IF(AND(YEAR($C$11)=$B176,MONTH($C$11)=I177),$C$4,H178-H181)</f>
        <v>0</v>
      </c>
      <c r="J178" s="368">
        <f t="shared" ref="J178" ca="1" si="369">IF(AND(YEAR($C$11)=$B176,MONTH($C$11)=J177),$C$4,I178-I181)</f>
        <v>0</v>
      </c>
      <c r="K178" s="368">
        <f t="shared" ref="K178" ca="1" si="370">IF(AND(YEAR($C$11)=$B176,MONTH($C$11)=K177),$C$4,J178-J181)</f>
        <v>0</v>
      </c>
      <c r="L178" s="368">
        <f t="shared" ref="L178" ca="1" si="371">IF(AND(YEAR($C$11)=$B176,MONTH($C$11)=L177),$C$4,K178-K181)</f>
        <v>0</v>
      </c>
      <c r="M178" s="368">
        <f t="shared" ref="M178" ca="1" si="372">IF(AND(YEAR($C$11)=$B176,MONTH($C$11)=M177),$C$4,L178-L181)</f>
        <v>0</v>
      </c>
      <c r="N178" s="368">
        <f t="shared" ref="N178" ca="1" si="373">IF(AND(YEAR($C$11)=$B176,MONTH($C$11)=N177),$C$4,M178-M181)</f>
        <v>0</v>
      </c>
      <c r="O178" s="369"/>
    </row>
    <row r="179" spans="2:15" x14ac:dyDescent="0.25">
      <c r="B179" s="259"/>
      <c r="C179" s="370">
        <f t="shared" ref="C179:N179" ca="1" si="374">C170+12</f>
        <v>210</v>
      </c>
      <c r="D179" s="370">
        <f t="shared" ca="1" si="374"/>
        <v>211</v>
      </c>
      <c r="E179" s="370">
        <f t="shared" ca="1" si="374"/>
        <v>212</v>
      </c>
      <c r="F179" s="370">
        <f t="shared" ca="1" si="374"/>
        <v>213</v>
      </c>
      <c r="G179" s="370">
        <f t="shared" ca="1" si="374"/>
        <v>214</v>
      </c>
      <c r="H179" s="370">
        <f t="shared" ca="1" si="374"/>
        <v>215</v>
      </c>
      <c r="I179" s="370">
        <f t="shared" ca="1" si="374"/>
        <v>216</v>
      </c>
      <c r="J179" s="370">
        <f t="shared" ca="1" si="374"/>
        <v>217</v>
      </c>
      <c r="K179" s="370">
        <f t="shared" ca="1" si="374"/>
        <v>218</v>
      </c>
      <c r="L179" s="370">
        <f t="shared" ca="1" si="374"/>
        <v>219</v>
      </c>
      <c r="M179" s="370">
        <f t="shared" ca="1" si="374"/>
        <v>220</v>
      </c>
      <c r="N179" s="370">
        <f t="shared" ca="1" si="374"/>
        <v>221</v>
      </c>
      <c r="O179" s="371"/>
    </row>
    <row r="180" spans="2:15" x14ac:dyDescent="0.25">
      <c r="B180" s="259" t="s">
        <v>99</v>
      </c>
      <c r="C180" s="368">
        <f t="shared" ref="C180:N180" ca="1" si="375">IF(C178&lt;0.001,0,($C$8/12)*C178)</f>
        <v>0</v>
      </c>
      <c r="D180" s="368">
        <f t="shared" ca="1" si="375"/>
        <v>0</v>
      </c>
      <c r="E180" s="368">
        <f t="shared" ca="1" si="375"/>
        <v>0</v>
      </c>
      <c r="F180" s="368">
        <f t="shared" ca="1" si="375"/>
        <v>0</v>
      </c>
      <c r="G180" s="368">
        <f t="shared" ca="1" si="375"/>
        <v>0</v>
      </c>
      <c r="H180" s="368">
        <f t="shared" ca="1" si="375"/>
        <v>0</v>
      </c>
      <c r="I180" s="368">
        <f t="shared" ca="1" si="375"/>
        <v>0</v>
      </c>
      <c r="J180" s="368">
        <f t="shared" ca="1" si="375"/>
        <v>0</v>
      </c>
      <c r="K180" s="368">
        <f t="shared" ca="1" si="375"/>
        <v>0</v>
      </c>
      <c r="L180" s="368">
        <f t="shared" ca="1" si="375"/>
        <v>0</v>
      </c>
      <c r="M180" s="368">
        <f t="shared" ca="1" si="375"/>
        <v>0</v>
      </c>
      <c r="N180" s="368">
        <f t="shared" ca="1" si="375"/>
        <v>0</v>
      </c>
      <c r="O180" s="369">
        <f t="shared" ref="O180:O183" ca="1" si="376">SUM(C180:N180)</f>
        <v>0</v>
      </c>
    </row>
    <row r="181" spans="2:15" x14ac:dyDescent="0.25">
      <c r="B181" s="259" t="s">
        <v>100</v>
      </c>
      <c r="C181" s="368">
        <f t="shared" ref="C181" ca="1" si="377">IF(OR(C178&lt;0.001,YEAR($C$12)&gt;$B176,AND(YEAR($C$12)=$B176,MONTH($C$12)&gt;C177)),0,IF($C$10="Lineair",$C$9,IF($C$10="Annuïteit",IFERROR((C180/(1-(1+$C$8/12)^-($C$7-N170)))-C180,0),0)))</f>
        <v>0</v>
      </c>
      <c r="D181" s="368">
        <f t="shared" ref="D181" ca="1" si="378">IF(OR(D178&lt;0.001,YEAR($C$12)&gt;$B176,AND(YEAR($C$12)=$B176,MONTH($C$12)&gt;D177)),0,IF($C$10="Lineair",$C$9,IF($C$10="Annuïteit",IFERROR((D180/(1-(1+$C$8/12)^-($C$7-C179)))-D180,0),0)))</f>
        <v>0</v>
      </c>
      <c r="E181" s="368">
        <f t="shared" ref="E181" ca="1" si="379">IF(OR(E178&lt;0.001,YEAR($C$12)&gt;$B176,AND(YEAR($C$12)=$B176,MONTH($C$12)&gt;E177)),0,IF($C$10="Lineair",$C$9,IF($C$10="Annuïteit",IFERROR((E180/(1-(1+$C$8/12)^-($C$7-D179)))-E180,0),0)))</f>
        <v>0</v>
      </c>
      <c r="F181" s="368">
        <f t="shared" ref="F181" ca="1" si="380">IF(OR(F178&lt;0.001,YEAR($C$12)&gt;$B176,AND(YEAR($C$12)=$B176,MONTH($C$12)&gt;F177)),0,IF($C$10="Lineair",$C$9,IF($C$10="Annuïteit",IFERROR((F180/(1-(1+$C$8/12)^-($C$7-E179)))-F180,0),0)))</f>
        <v>0</v>
      </c>
      <c r="G181" s="368">
        <f t="shared" ref="G181" ca="1" si="381">IF(OR(G178&lt;0.001,YEAR($C$12)&gt;$B176,AND(YEAR($C$12)=$B176,MONTH($C$12)&gt;G177)),0,IF($C$10="Lineair",$C$9,IF($C$10="Annuïteit",IFERROR((G180/(1-(1+$C$8/12)^-($C$7-F179)))-G180,0),0)))</f>
        <v>0</v>
      </c>
      <c r="H181" s="368">
        <f t="shared" ref="H181" ca="1" si="382">IF(OR(H178&lt;0.001,YEAR($C$12)&gt;$B176,AND(YEAR($C$12)=$B176,MONTH($C$12)&gt;H177)),0,IF($C$10="Lineair",$C$9,IF($C$10="Annuïteit",IFERROR((H180/(1-(1+$C$8/12)^-($C$7-G179)))-H180,0),0)))</f>
        <v>0</v>
      </c>
      <c r="I181" s="368">
        <f t="shared" ref="I181" ca="1" si="383">IF(OR(I178&lt;0.001,YEAR($C$12)&gt;$B176,AND(YEAR($C$12)=$B176,MONTH($C$12)&gt;I177)),0,IF($C$10="Lineair",$C$9,IF($C$10="Annuïteit",IFERROR((I180/(1-(1+$C$8/12)^-($C$7-H179)))-I180,0),0)))</f>
        <v>0</v>
      </c>
      <c r="J181" s="368">
        <f t="shared" ref="J181" ca="1" si="384">IF(OR(J178&lt;0.001,YEAR($C$12)&gt;$B176,AND(YEAR($C$12)=$B176,MONTH($C$12)&gt;J177)),0,IF($C$10="Lineair",$C$9,IF($C$10="Annuïteit",IFERROR((J180/(1-(1+$C$8/12)^-($C$7-I179)))-J180,0),0)))</f>
        <v>0</v>
      </c>
      <c r="K181" s="368">
        <f t="shared" ref="K181" ca="1" si="385">IF(OR(K178&lt;0.001,YEAR($C$12)&gt;$B176,AND(YEAR($C$12)=$B176,MONTH($C$12)&gt;K177)),0,IF($C$10="Lineair",$C$9,IF($C$10="Annuïteit",IFERROR((K180/(1-(1+$C$8/12)^-($C$7-J179)))-K180,0),0)))</f>
        <v>0</v>
      </c>
      <c r="L181" s="368">
        <f t="shared" ref="L181" ca="1" si="386">IF(OR(L178&lt;0.001,YEAR($C$12)&gt;$B176,AND(YEAR($C$12)=$B176,MONTH($C$12)&gt;L177)),0,IF($C$10="Lineair",$C$9,IF($C$10="Annuïteit",IFERROR((L180/(1-(1+$C$8/12)^-($C$7-K179)))-L180,0),0)))</f>
        <v>0</v>
      </c>
      <c r="M181" s="368">
        <f t="shared" ref="M181" ca="1" si="387">IF(OR(M178&lt;0.001,YEAR($C$12)&gt;$B176,AND(YEAR($C$12)=$B176,MONTH($C$12)&gt;M177)),0,IF($C$10="Lineair",$C$9,IF($C$10="Annuïteit",IFERROR((M180/(1-(1+$C$8/12)^-($C$7-L179)))-M180,0),0)))</f>
        <v>0</v>
      </c>
      <c r="N181" s="368">
        <f t="shared" ref="N181" ca="1" si="388">IF(OR(N178&lt;0.001,YEAR($C$12)&gt;$B176,AND(YEAR($C$12)=$B176,MONTH($C$12)&gt;N177)),0,IF($C$10="Lineair",$C$9,IF($C$10="Annuïteit",IFERROR((N180/(1-(1+$C$8/12)^-($C$7-M179)))-N180,0),0)))</f>
        <v>0</v>
      </c>
      <c r="O181" s="369">
        <f t="shared" ca="1" si="376"/>
        <v>0</v>
      </c>
    </row>
    <row r="182" spans="2:15" x14ac:dyDescent="0.25">
      <c r="B182" s="256" t="s">
        <v>101</v>
      </c>
      <c r="C182" s="372">
        <f t="shared" ref="C182:N182" ca="1" si="389">IF(AND(YEAR($C$11)=$B176,MONTH($C$11)=C177),$C$5,0)</f>
        <v>0</v>
      </c>
      <c r="D182" s="372">
        <f t="shared" ca="1" si="389"/>
        <v>0</v>
      </c>
      <c r="E182" s="372">
        <f t="shared" ca="1" si="389"/>
        <v>0</v>
      </c>
      <c r="F182" s="372">
        <f t="shared" ca="1" si="389"/>
        <v>0</v>
      </c>
      <c r="G182" s="372">
        <f t="shared" ca="1" si="389"/>
        <v>0</v>
      </c>
      <c r="H182" s="372">
        <f t="shared" ca="1" si="389"/>
        <v>0</v>
      </c>
      <c r="I182" s="372">
        <f t="shared" ca="1" si="389"/>
        <v>0</v>
      </c>
      <c r="J182" s="372">
        <f t="shared" ca="1" si="389"/>
        <v>0</v>
      </c>
      <c r="K182" s="372">
        <f t="shared" ca="1" si="389"/>
        <v>0</v>
      </c>
      <c r="L182" s="372">
        <f t="shared" ca="1" si="389"/>
        <v>0</v>
      </c>
      <c r="M182" s="372">
        <f t="shared" ca="1" si="389"/>
        <v>0</v>
      </c>
      <c r="N182" s="372">
        <f t="shared" ca="1" si="389"/>
        <v>0</v>
      </c>
      <c r="O182" s="369">
        <f t="shared" ca="1" si="376"/>
        <v>0</v>
      </c>
    </row>
    <row r="183" spans="2:15" x14ac:dyDescent="0.25">
      <c r="B183" s="373" t="s">
        <v>102</v>
      </c>
      <c r="C183" s="374">
        <f t="shared" ref="C183:N183" ca="1" si="390">SUM(C180:C182)</f>
        <v>0</v>
      </c>
      <c r="D183" s="374">
        <f t="shared" ca="1" si="390"/>
        <v>0</v>
      </c>
      <c r="E183" s="374">
        <f t="shared" ca="1" si="390"/>
        <v>0</v>
      </c>
      <c r="F183" s="374">
        <f t="shared" ca="1" si="390"/>
        <v>0</v>
      </c>
      <c r="G183" s="374">
        <f t="shared" ca="1" si="390"/>
        <v>0</v>
      </c>
      <c r="H183" s="374">
        <f t="shared" ca="1" si="390"/>
        <v>0</v>
      </c>
      <c r="I183" s="374">
        <f t="shared" ca="1" si="390"/>
        <v>0</v>
      </c>
      <c r="J183" s="374">
        <f t="shared" ca="1" si="390"/>
        <v>0</v>
      </c>
      <c r="K183" s="374">
        <f t="shared" ca="1" si="390"/>
        <v>0</v>
      </c>
      <c r="L183" s="374">
        <f t="shared" ca="1" si="390"/>
        <v>0</v>
      </c>
      <c r="M183" s="374">
        <f t="shared" ca="1" si="390"/>
        <v>0</v>
      </c>
      <c r="N183" s="374">
        <f t="shared" ca="1" si="390"/>
        <v>0</v>
      </c>
      <c r="O183" s="369">
        <f t="shared" ca="1" si="376"/>
        <v>0</v>
      </c>
    </row>
    <row r="184" spans="2:15" x14ac:dyDescent="0.25">
      <c r="B184" s="75"/>
      <c r="C184" s="75"/>
      <c r="D184" s="75"/>
      <c r="E184" s="75"/>
      <c r="F184" s="75"/>
      <c r="G184" s="75"/>
      <c r="H184" s="75"/>
      <c r="I184" s="75"/>
      <c r="J184" s="75"/>
      <c r="K184" s="75"/>
      <c r="L184" s="75"/>
      <c r="M184" s="75"/>
      <c r="N184" s="75"/>
      <c r="O184" s="75"/>
    </row>
    <row r="185" spans="2:15" x14ac:dyDescent="0.25">
      <c r="B185" s="351">
        <f t="shared" si="216"/>
        <v>2042</v>
      </c>
      <c r="C185" s="247" t="s">
        <v>181</v>
      </c>
      <c r="D185" s="247" t="s">
        <v>182</v>
      </c>
      <c r="E185" s="247" t="s">
        <v>183</v>
      </c>
      <c r="F185" s="247" t="s">
        <v>184</v>
      </c>
      <c r="G185" s="247" t="s">
        <v>185</v>
      </c>
      <c r="H185" s="247" t="s">
        <v>186</v>
      </c>
      <c r="I185" s="247" t="s">
        <v>187</v>
      </c>
      <c r="J185" s="247" t="s">
        <v>188</v>
      </c>
      <c r="K185" s="247" t="s">
        <v>189</v>
      </c>
      <c r="L185" s="247" t="s">
        <v>190</v>
      </c>
      <c r="M185" s="247" t="s">
        <v>191</v>
      </c>
      <c r="N185" s="247" t="s">
        <v>192</v>
      </c>
      <c r="O185" s="303" t="s">
        <v>408</v>
      </c>
    </row>
    <row r="186" spans="2:15" x14ac:dyDescent="0.25">
      <c r="B186" s="259"/>
      <c r="C186" s="301">
        <v>1</v>
      </c>
      <c r="D186" s="301">
        <v>2</v>
      </c>
      <c r="E186" s="301">
        <v>3</v>
      </c>
      <c r="F186" s="301">
        <v>4</v>
      </c>
      <c r="G186" s="301">
        <v>5</v>
      </c>
      <c r="H186" s="301">
        <v>6</v>
      </c>
      <c r="I186" s="301">
        <v>7</v>
      </c>
      <c r="J186" s="301">
        <v>8</v>
      </c>
      <c r="K186" s="301">
        <v>9</v>
      </c>
      <c r="L186" s="301">
        <v>10</v>
      </c>
      <c r="M186" s="301">
        <v>11</v>
      </c>
      <c r="N186" s="301">
        <v>12</v>
      </c>
      <c r="O186" s="302"/>
    </row>
    <row r="187" spans="2:15" x14ac:dyDescent="0.25">
      <c r="B187" s="259" t="s">
        <v>98</v>
      </c>
      <c r="C187" s="368">
        <f t="shared" ref="C187" ca="1" si="391">IF(AND(YEAR($C$11)=$B185,MONTH($C$11)=C186),$C$4,N178-N181)</f>
        <v>0</v>
      </c>
      <c r="D187" s="368">
        <f t="shared" ref="D187" ca="1" si="392">IF(AND(YEAR($C$11)=$B185,MONTH($C$11)=D186),$C$4,C187-C190)</f>
        <v>0</v>
      </c>
      <c r="E187" s="368">
        <f t="shared" ref="E187" ca="1" si="393">IF(AND(YEAR($C$11)=$B185,MONTH($C$11)=E186),$C$4,D187-D190)</f>
        <v>0</v>
      </c>
      <c r="F187" s="368">
        <f t="shared" ref="F187" ca="1" si="394">IF(AND(YEAR($C$11)=$B185,MONTH($C$11)=F186),$C$4,E187-E190)</f>
        <v>0</v>
      </c>
      <c r="G187" s="368">
        <f t="shared" ref="G187" ca="1" si="395">IF(AND(YEAR($C$11)=$B185,MONTH($C$11)=G186),$C$4,F187-F190)</f>
        <v>0</v>
      </c>
      <c r="H187" s="368">
        <f t="shared" ref="H187" ca="1" si="396">IF(AND(YEAR($C$11)=$B185,MONTH($C$11)=H186),$C$4,G187-G190)</f>
        <v>0</v>
      </c>
      <c r="I187" s="368">
        <f t="shared" ref="I187" ca="1" si="397">IF(AND(YEAR($C$11)=$B185,MONTH($C$11)=I186),$C$4,H187-H190)</f>
        <v>0</v>
      </c>
      <c r="J187" s="368">
        <f t="shared" ref="J187" ca="1" si="398">IF(AND(YEAR($C$11)=$B185,MONTH($C$11)=J186),$C$4,I187-I190)</f>
        <v>0</v>
      </c>
      <c r="K187" s="368">
        <f t="shared" ref="K187" ca="1" si="399">IF(AND(YEAR($C$11)=$B185,MONTH($C$11)=K186),$C$4,J187-J190)</f>
        <v>0</v>
      </c>
      <c r="L187" s="368">
        <f t="shared" ref="L187" ca="1" si="400">IF(AND(YEAR($C$11)=$B185,MONTH($C$11)=L186),$C$4,K187-K190)</f>
        <v>0</v>
      </c>
      <c r="M187" s="368">
        <f t="shared" ref="M187" ca="1" si="401">IF(AND(YEAR($C$11)=$B185,MONTH($C$11)=M186),$C$4,L187-L190)</f>
        <v>0</v>
      </c>
      <c r="N187" s="368">
        <f t="shared" ref="N187" ca="1" si="402">IF(AND(YEAR($C$11)=$B185,MONTH($C$11)=N186),$C$4,M187-M190)</f>
        <v>0</v>
      </c>
      <c r="O187" s="369"/>
    </row>
    <row r="188" spans="2:15" x14ac:dyDescent="0.25">
      <c r="B188" s="259"/>
      <c r="C188" s="370">
        <f t="shared" ref="C188:N188" ca="1" si="403">C179+12</f>
        <v>222</v>
      </c>
      <c r="D188" s="370">
        <f t="shared" ca="1" si="403"/>
        <v>223</v>
      </c>
      <c r="E188" s="370">
        <f t="shared" ca="1" si="403"/>
        <v>224</v>
      </c>
      <c r="F188" s="370">
        <f t="shared" ca="1" si="403"/>
        <v>225</v>
      </c>
      <c r="G188" s="370">
        <f t="shared" ca="1" si="403"/>
        <v>226</v>
      </c>
      <c r="H188" s="370">
        <f t="shared" ca="1" si="403"/>
        <v>227</v>
      </c>
      <c r="I188" s="370">
        <f t="shared" ca="1" si="403"/>
        <v>228</v>
      </c>
      <c r="J188" s="370">
        <f t="shared" ca="1" si="403"/>
        <v>229</v>
      </c>
      <c r="K188" s="370">
        <f t="shared" ca="1" si="403"/>
        <v>230</v>
      </c>
      <c r="L188" s="370">
        <f t="shared" ca="1" si="403"/>
        <v>231</v>
      </c>
      <c r="M188" s="370">
        <f t="shared" ca="1" si="403"/>
        <v>232</v>
      </c>
      <c r="N188" s="370">
        <f t="shared" ca="1" si="403"/>
        <v>233</v>
      </c>
      <c r="O188" s="371"/>
    </row>
    <row r="189" spans="2:15" x14ac:dyDescent="0.25">
      <c r="B189" s="259" t="s">
        <v>99</v>
      </c>
      <c r="C189" s="368">
        <f t="shared" ref="C189:N189" ca="1" si="404">IF(C187&lt;0.001,0,($C$8/12)*C187)</f>
        <v>0</v>
      </c>
      <c r="D189" s="368">
        <f t="shared" ca="1" si="404"/>
        <v>0</v>
      </c>
      <c r="E189" s="368">
        <f t="shared" ca="1" si="404"/>
        <v>0</v>
      </c>
      <c r="F189" s="368">
        <f t="shared" ca="1" si="404"/>
        <v>0</v>
      </c>
      <c r="G189" s="368">
        <f t="shared" ca="1" si="404"/>
        <v>0</v>
      </c>
      <c r="H189" s="368">
        <f t="shared" ca="1" si="404"/>
        <v>0</v>
      </c>
      <c r="I189" s="368">
        <f t="shared" ca="1" si="404"/>
        <v>0</v>
      </c>
      <c r="J189" s="368">
        <f t="shared" ca="1" si="404"/>
        <v>0</v>
      </c>
      <c r="K189" s="368">
        <f t="shared" ca="1" si="404"/>
        <v>0</v>
      </c>
      <c r="L189" s="368">
        <f t="shared" ca="1" si="404"/>
        <v>0</v>
      </c>
      <c r="M189" s="368">
        <f t="shared" ca="1" si="404"/>
        <v>0</v>
      </c>
      <c r="N189" s="368">
        <f t="shared" ca="1" si="404"/>
        <v>0</v>
      </c>
      <c r="O189" s="369">
        <f t="shared" ref="O189:O192" ca="1" si="405">SUM(C189:N189)</f>
        <v>0</v>
      </c>
    </row>
    <row r="190" spans="2:15" x14ac:dyDescent="0.25">
      <c r="B190" s="259" t="s">
        <v>100</v>
      </c>
      <c r="C190" s="368">
        <f t="shared" ref="C190" ca="1" si="406">IF(OR(C187&lt;0.001,YEAR($C$12)&gt;$B185,AND(YEAR($C$12)=$B185,MONTH($C$12)&gt;C186)),0,IF($C$10="Lineair",$C$9,IF($C$10="Annuïteit",IFERROR((C189/(1-(1+$C$8/12)^-($C$7-N179)))-C189,0),0)))</f>
        <v>0</v>
      </c>
      <c r="D190" s="368">
        <f t="shared" ref="D190" ca="1" si="407">IF(OR(D187&lt;0.001,YEAR($C$12)&gt;$B185,AND(YEAR($C$12)=$B185,MONTH($C$12)&gt;D186)),0,IF($C$10="Lineair",$C$9,IF($C$10="Annuïteit",IFERROR((D189/(1-(1+$C$8/12)^-($C$7-C188)))-D189,0),0)))</f>
        <v>0</v>
      </c>
      <c r="E190" s="368">
        <f t="shared" ref="E190" ca="1" si="408">IF(OR(E187&lt;0.001,YEAR($C$12)&gt;$B185,AND(YEAR($C$12)=$B185,MONTH($C$12)&gt;E186)),0,IF($C$10="Lineair",$C$9,IF($C$10="Annuïteit",IFERROR((E189/(1-(1+$C$8/12)^-($C$7-D188)))-E189,0),0)))</f>
        <v>0</v>
      </c>
      <c r="F190" s="368">
        <f t="shared" ref="F190" ca="1" si="409">IF(OR(F187&lt;0.001,YEAR($C$12)&gt;$B185,AND(YEAR($C$12)=$B185,MONTH($C$12)&gt;F186)),0,IF($C$10="Lineair",$C$9,IF($C$10="Annuïteit",IFERROR((F189/(1-(1+$C$8/12)^-($C$7-E188)))-F189,0),0)))</f>
        <v>0</v>
      </c>
      <c r="G190" s="368">
        <f t="shared" ref="G190" ca="1" si="410">IF(OR(G187&lt;0.001,YEAR($C$12)&gt;$B185,AND(YEAR($C$12)=$B185,MONTH($C$12)&gt;G186)),0,IF($C$10="Lineair",$C$9,IF($C$10="Annuïteit",IFERROR((G189/(1-(1+$C$8/12)^-($C$7-F188)))-G189,0),0)))</f>
        <v>0</v>
      </c>
      <c r="H190" s="368">
        <f t="shared" ref="H190" ca="1" si="411">IF(OR(H187&lt;0.001,YEAR($C$12)&gt;$B185,AND(YEAR($C$12)=$B185,MONTH($C$12)&gt;H186)),0,IF($C$10="Lineair",$C$9,IF($C$10="Annuïteit",IFERROR((H189/(1-(1+$C$8/12)^-($C$7-G188)))-H189,0),0)))</f>
        <v>0</v>
      </c>
      <c r="I190" s="368">
        <f t="shared" ref="I190" ca="1" si="412">IF(OR(I187&lt;0.001,YEAR($C$12)&gt;$B185,AND(YEAR($C$12)=$B185,MONTH($C$12)&gt;I186)),0,IF($C$10="Lineair",$C$9,IF($C$10="Annuïteit",IFERROR((I189/(1-(1+$C$8/12)^-($C$7-H188)))-I189,0),0)))</f>
        <v>0</v>
      </c>
      <c r="J190" s="368">
        <f t="shared" ref="J190" ca="1" si="413">IF(OR(J187&lt;0.001,YEAR($C$12)&gt;$B185,AND(YEAR($C$12)=$B185,MONTH($C$12)&gt;J186)),0,IF($C$10="Lineair",$C$9,IF($C$10="Annuïteit",IFERROR((J189/(1-(1+$C$8/12)^-($C$7-I188)))-J189,0),0)))</f>
        <v>0</v>
      </c>
      <c r="K190" s="368">
        <f t="shared" ref="K190" ca="1" si="414">IF(OR(K187&lt;0.001,YEAR($C$12)&gt;$B185,AND(YEAR($C$12)=$B185,MONTH($C$12)&gt;K186)),0,IF($C$10="Lineair",$C$9,IF($C$10="Annuïteit",IFERROR((K189/(1-(1+$C$8/12)^-($C$7-J188)))-K189,0),0)))</f>
        <v>0</v>
      </c>
      <c r="L190" s="368">
        <f t="shared" ref="L190" ca="1" si="415">IF(OR(L187&lt;0.001,YEAR($C$12)&gt;$B185,AND(YEAR($C$12)=$B185,MONTH($C$12)&gt;L186)),0,IF($C$10="Lineair",$C$9,IF($C$10="Annuïteit",IFERROR((L189/(1-(1+$C$8/12)^-($C$7-K188)))-L189,0),0)))</f>
        <v>0</v>
      </c>
      <c r="M190" s="368">
        <f t="shared" ref="M190" ca="1" si="416">IF(OR(M187&lt;0.001,YEAR($C$12)&gt;$B185,AND(YEAR($C$12)=$B185,MONTH($C$12)&gt;M186)),0,IF($C$10="Lineair",$C$9,IF($C$10="Annuïteit",IFERROR((M189/(1-(1+$C$8/12)^-($C$7-L188)))-M189,0),0)))</f>
        <v>0</v>
      </c>
      <c r="N190" s="368">
        <f t="shared" ref="N190" ca="1" si="417">IF(OR(N187&lt;0.001,YEAR($C$12)&gt;$B185,AND(YEAR($C$12)=$B185,MONTH($C$12)&gt;N186)),0,IF($C$10="Lineair",$C$9,IF($C$10="Annuïteit",IFERROR((N189/(1-(1+$C$8/12)^-($C$7-M188)))-N189,0),0)))</f>
        <v>0</v>
      </c>
      <c r="O190" s="369">
        <f t="shared" ca="1" si="405"/>
        <v>0</v>
      </c>
    </row>
    <row r="191" spans="2:15" x14ac:dyDescent="0.25">
      <c r="B191" s="256" t="s">
        <v>101</v>
      </c>
      <c r="C191" s="372">
        <f t="shared" ref="C191:N191" ca="1" si="418">IF(AND(YEAR($C$11)=$B185,MONTH($C$11)=C186),$C$5,0)</f>
        <v>0</v>
      </c>
      <c r="D191" s="372">
        <f t="shared" ca="1" si="418"/>
        <v>0</v>
      </c>
      <c r="E191" s="372">
        <f t="shared" ca="1" si="418"/>
        <v>0</v>
      </c>
      <c r="F191" s="372">
        <f t="shared" ca="1" si="418"/>
        <v>0</v>
      </c>
      <c r="G191" s="372">
        <f t="shared" ca="1" si="418"/>
        <v>0</v>
      </c>
      <c r="H191" s="372">
        <f t="shared" ca="1" si="418"/>
        <v>0</v>
      </c>
      <c r="I191" s="372">
        <f t="shared" ca="1" si="418"/>
        <v>0</v>
      </c>
      <c r="J191" s="372">
        <f t="shared" ca="1" si="418"/>
        <v>0</v>
      </c>
      <c r="K191" s="372">
        <f t="shared" ca="1" si="418"/>
        <v>0</v>
      </c>
      <c r="L191" s="372">
        <f t="shared" ca="1" si="418"/>
        <v>0</v>
      </c>
      <c r="M191" s="372">
        <f t="shared" ca="1" si="418"/>
        <v>0</v>
      </c>
      <c r="N191" s="372">
        <f t="shared" ca="1" si="418"/>
        <v>0</v>
      </c>
      <c r="O191" s="369">
        <f t="shared" ca="1" si="405"/>
        <v>0</v>
      </c>
    </row>
    <row r="192" spans="2:15" x14ac:dyDescent="0.25">
      <c r="B192" s="373" t="s">
        <v>102</v>
      </c>
      <c r="C192" s="374">
        <f t="shared" ref="C192:N192" ca="1" si="419">SUM(C189:C191)</f>
        <v>0</v>
      </c>
      <c r="D192" s="374">
        <f t="shared" ca="1" si="419"/>
        <v>0</v>
      </c>
      <c r="E192" s="374">
        <f t="shared" ca="1" si="419"/>
        <v>0</v>
      </c>
      <c r="F192" s="374">
        <f t="shared" ca="1" si="419"/>
        <v>0</v>
      </c>
      <c r="G192" s="374">
        <f t="shared" ca="1" si="419"/>
        <v>0</v>
      </c>
      <c r="H192" s="374">
        <f t="shared" ca="1" si="419"/>
        <v>0</v>
      </c>
      <c r="I192" s="374">
        <f t="shared" ca="1" si="419"/>
        <v>0</v>
      </c>
      <c r="J192" s="374">
        <f t="shared" ca="1" si="419"/>
        <v>0</v>
      </c>
      <c r="K192" s="374">
        <f t="shared" ca="1" si="419"/>
        <v>0</v>
      </c>
      <c r="L192" s="374">
        <f t="shared" ca="1" si="419"/>
        <v>0</v>
      </c>
      <c r="M192" s="374">
        <f t="shared" ca="1" si="419"/>
        <v>0</v>
      </c>
      <c r="N192" s="374">
        <f t="shared" ca="1" si="419"/>
        <v>0</v>
      </c>
      <c r="O192" s="369">
        <f t="shared" ca="1" si="405"/>
        <v>0</v>
      </c>
    </row>
    <row r="193" spans="2:15" x14ac:dyDescent="0.25">
      <c r="B193" s="75"/>
      <c r="C193" s="75"/>
      <c r="D193" s="75"/>
      <c r="E193" s="75"/>
      <c r="F193" s="75"/>
      <c r="G193" s="75"/>
      <c r="H193" s="75"/>
      <c r="I193" s="75"/>
      <c r="J193" s="75"/>
      <c r="K193" s="75"/>
      <c r="L193" s="75"/>
      <c r="M193" s="75"/>
      <c r="N193" s="75"/>
      <c r="O193" s="75"/>
    </row>
    <row r="194" spans="2:15" x14ac:dyDescent="0.25">
      <c r="B194" s="351">
        <f t="shared" si="216"/>
        <v>2043</v>
      </c>
      <c r="C194" s="247" t="s">
        <v>181</v>
      </c>
      <c r="D194" s="247" t="s">
        <v>182</v>
      </c>
      <c r="E194" s="247" t="s">
        <v>183</v>
      </c>
      <c r="F194" s="247" t="s">
        <v>184</v>
      </c>
      <c r="G194" s="247" t="s">
        <v>185</v>
      </c>
      <c r="H194" s="247" t="s">
        <v>186</v>
      </c>
      <c r="I194" s="247" t="s">
        <v>187</v>
      </c>
      <c r="J194" s="247" t="s">
        <v>188</v>
      </c>
      <c r="K194" s="247" t="s">
        <v>189</v>
      </c>
      <c r="L194" s="247" t="s">
        <v>190</v>
      </c>
      <c r="M194" s="247" t="s">
        <v>191</v>
      </c>
      <c r="N194" s="247" t="s">
        <v>192</v>
      </c>
      <c r="O194" s="303" t="s">
        <v>408</v>
      </c>
    </row>
    <row r="195" spans="2:15" x14ac:dyDescent="0.25">
      <c r="B195" s="259"/>
      <c r="C195" s="301">
        <v>1</v>
      </c>
      <c r="D195" s="301">
        <v>2</v>
      </c>
      <c r="E195" s="301">
        <v>3</v>
      </c>
      <c r="F195" s="301">
        <v>4</v>
      </c>
      <c r="G195" s="301">
        <v>5</v>
      </c>
      <c r="H195" s="301">
        <v>6</v>
      </c>
      <c r="I195" s="301">
        <v>7</v>
      </c>
      <c r="J195" s="301">
        <v>8</v>
      </c>
      <c r="K195" s="301">
        <v>9</v>
      </c>
      <c r="L195" s="301">
        <v>10</v>
      </c>
      <c r="M195" s="301">
        <v>11</v>
      </c>
      <c r="N195" s="301">
        <v>12</v>
      </c>
      <c r="O195" s="302"/>
    </row>
    <row r="196" spans="2:15" x14ac:dyDescent="0.25">
      <c r="B196" s="259" t="s">
        <v>98</v>
      </c>
      <c r="C196" s="368">
        <f t="shared" ref="C196" ca="1" si="420">IF(AND(YEAR($C$11)=$B194,MONTH($C$11)=C195),$C$4,N187-N190)</f>
        <v>0</v>
      </c>
      <c r="D196" s="368">
        <f t="shared" ref="D196" ca="1" si="421">IF(AND(YEAR($C$11)=$B194,MONTH($C$11)=D195),$C$4,C196-C199)</f>
        <v>0</v>
      </c>
      <c r="E196" s="368">
        <f t="shared" ref="E196" ca="1" si="422">IF(AND(YEAR($C$11)=$B194,MONTH($C$11)=E195),$C$4,D196-D199)</f>
        <v>0</v>
      </c>
      <c r="F196" s="368">
        <f t="shared" ref="F196" ca="1" si="423">IF(AND(YEAR($C$11)=$B194,MONTH($C$11)=F195),$C$4,E196-E199)</f>
        <v>0</v>
      </c>
      <c r="G196" s="368">
        <f t="shared" ref="G196" ca="1" si="424">IF(AND(YEAR($C$11)=$B194,MONTH($C$11)=G195),$C$4,F196-F199)</f>
        <v>0</v>
      </c>
      <c r="H196" s="368">
        <f t="shared" ref="H196" ca="1" si="425">IF(AND(YEAR($C$11)=$B194,MONTH($C$11)=H195),$C$4,G196-G199)</f>
        <v>0</v>
      </c>
      <c r="I196" s="368">
        <f t="shared" ref="I196" ca="1" si="426">IF(AND(YEAR($C$11)=$B194,MONTH($C$11)=I195),$C$4,H196-H199)</f>
        <v>0</v>
      </c>
      <c r="J196" s="368">
        <f t="shared" ref="J196" ca="1" si="427">IF(AND(YEAR($C$11)=$B194,MONTH($C$11)=J195),$C$4,I196-I199)</f>
        <v>0</v>
      </c>
      <c r="K196" s="368">
        <f t="shared" ref="K196" ca="1" si="428">IF(AND(YEAR($C$11)=$B194,MONTH($C$11)=K195),$C$4,J196-J199)</f>
        <v>0</v>
      </c>
      <c r="L196" s="368">
        <f t="shared" ref="L196" ca="1" si="429">IF(AND(YEAR($C$11)=$B194,MONTH($C$11)=L195),$C$4,K196-K199)</f>
        <v>0</v>
      </c>
      <c r="M196" s="368">
        <f t="shared" ref="M196" ca="1" si="430">IF(AND(YEAR($C$11)=$B194,MONTH($C$11)=M195),$C$4,L196-L199)</f>
        <v>0</v>
      </c>
      <c r="N196" s="368">
        <f t="shared" ref="N196" ca="1" si="431">IF(AND(YEAR($C$11)=$B194,MONTH($C$11)=N195),$C$4,M196-M199)</f>
        <v>0</v>
      </c>
      <c r="O196" s="369"/>
    </row>
    <row r="197" spans="2:15" x14ac:dyDescent="0.25">
      <c r="B197" s="259"/>
      <c r="C197" s="370">
        <f t="shared" ref="C197:N197" ca="1" si="432">C188+12</f>
        <v>234</v>
      </c>
      <c r="D197" s="370">
        <f t="shared" ca="1" si="432"/>
        <v>235</v>
      </c>
      <c r="E197" s="370">
        <f t="shared" ca="1" si="432"/>
        <v>236</v>
      </c>
      <c r="F197" s="370">
        <f t="shared" ca="1" si="432"/>
        <v>237</v>
      </c>
      <c r="G197" s="370">
        <f t="shared" ca="1" si="432"/>
        <v>238</v>
      </c>
      <c r="H197" s="370">
        <f t="shared" ca="1" si="432"/>
        <v>239</v>
      </c>
      <c r="I197" s="370">
        <f t="shared" ca="1" si="432"/>
        <v>240</v>
      </c>
      <c r="J197" s="370">
        <f t="shared" ca="1" si="432"/>
        <v>241</v>
      </c>
      <c r="K197" s="370">
        <f t="shared" ca="1" si="432"/>
        <v>242</v>
      </c>
      <c r="L197" s="370">
        <f t="shared" ca="1" si="432"/>
        <v>243</v>
      </c>
      <c r="M197" s="370">
        <f t="shared" ca="1" si="432"/>
        <v>244</v>
      </c>
      <c r="N197" s="370">
        <f t="shared" ca="1" si="432"/>
        <v>245</v>
      </c>
      <c r="O197" s="371"/>
    </row>
    <row r="198" spans="2:15" x14ac:dyDescent="0.25">
      <c r="B198" s="259" t="s">
        <v>99</v>
      </c>
      <c r="C198" s="368">
        <f t="shared" ref="C198:N198" ca="1" si="433">IF(C196&lt;0.001,0,($C$8/12)*C196)</f>
        <v>0</v>
      </c>
      <c r="D198" s="368">
        <f t="shared" ca="1" si="433"/>
        <v>0</v>
      </c>
      <c r="E198" s="368">
        <f t="shared" ca="1" si="433"/>
        <v>0</v>
      </c>
      <c r="F198" s="368">
        <f t="shared" ca="1" si="433"/>
        <v>0</v>
      </c>
      <c r="G198" s="368">
        <f t="shared" ca="1" si="433"/>
        <v>0</v>
      </c>
      <c r="H198" s="368">
        <f t="shared" ca="1" si="433"/>
        <v>0</v>
      </c>
      <c r="I198" s="368">
        <f t="shared" ca="1" si="433"/>
        <v>0</v>
      </c>
      <c r="J198" s="368">
        <f t="shared" ca="1" si="433"/>
        <v>0</v>
      </c>
      <c r="K198" s="368">
        <f t="shared" ca="1" si="433"/>
        <v>0</v>
      </c>
      <c r="L198" s="368">
        <f t="shared" ca="1" si="433"/>
        <v>0</v>
      </c>
      <c r="M198" s="368">
        <f t="shared" ca="1" si="433"/>
        <v>0</v>
      </c>
      <c r="N198" s="368">
        <f t="shared" ca="1" si="433"/>
        <v>0</v>
      </c>
      <c r="O198" s="369">
        <f t="shared" ref="O198:O201" ca="1" si="434">SUM(C198:N198)</f>
        <v>0</v>
      </c>
    </row>
    <row r="199" spans="2:15" x14ac:dyDescent="0.25">
      <c r="B199" s="259" t="s">
        <v>100</v>
      </c>
      <c r="C199" s="368">
        <f t="shared" ref="C199" ca="1" si="435">IF(OR(C196&lt;0.001,YEAR($C$12)&gt;$B194,AND(YEAR($C$12)=$B194,MONTH($C$12)&gt;C195)),0,IF($C$10="Lineair",$C$9,IF($C$10="Annuïteit",IFERROR((C198/(1-(1+$C$8/12)^-($C$7-N188)))-C198,0),0)))</f>
        <v>0</v>
      </c>
      <c r="D199" s="368">
        <f t="shared" ref="D199" ca="1" si="436">IF(OR(D196&lt;0.001,YEAR($C$12)&gt;$B194,AND(YEAR($C$12)=$B194,MONTH($C$12)&gt;D195)),0,IF($C$10="Lineair",$C$9,IF($C$10="Annuïteit",IFERROR((D198/(1-(1+$C$8/12)^-($C$7-C197)))-D198,0),0)))</f>
        <v>0</v>
      </c>
      <c r="E199" s="368">
        <f t="shared" ref="E199" ca="1" si="437">IF(OR(E196&lt;0.001,YEAR($C$12)&gt;$B194,AND(YEAR($C$12)=$B194,MONTH($C$12)&gt;E195)),0,IF($C$10="Lineair",$C$9,IF($C$10="Annuïteit",IFERROR((E198/(1-(1+$C$8/12)^-($C$7-D197)))-E198,0),0)))</f>
        <v>0</v>
      </c>
      <c r="F199" s="368">
        <f t="shared" ref="F199" ca="1" si="438">IF(OR(F196&lt;0.001,YEAR($C$12)&gt;$B194,AND(YEAR($C$12)=$B194,MONTH($C$12)&gt;F195)),0,IF($C$10="Lineair",$C$9,IF($C$10="Annuïteit",IFERROR((F198/(1-(1+$C$8/12)^-($C$7-E197)))-F198,0),0)))</f>
        <v>0</v>
      </c>
      <c r="G199" s="368">
        <f t="shared" ref="G199" ca="1" si="439">IF(OR(G196&lt;0.001,YEAR($C$12)&gt;$B194,AND(YEAR($C$12)=$B194,MONTH($C$12)&gt;G195)),0,IF($C$10="Lineair",$C$9,IF($C$10="Annuïteit",IFERROR((G198/(1-(1+$C$8/12)^-($C$7-F197)))-G198,0),0)))</f>
        <v>0</v>
      </c>
      <c r="H199" s="368">
        <f t="shared" ref="H199" ca="1" si="440">IF(OR(H196&lt;0.001,YEAR($C$12)&gt;$B194,AND(YEAR($C$12)=$B194,MONTH($C$12)&gt;H195)),0,IF($C$10="Lineair",$C$9,IF($C$10="Annuïteit",IFERROR((H198/(1-(1+$C$8/12)^-($C$7-G197)))-H198,0),0)))</f>
        <v>0</v>
      </c>
      <c r="I199" s="368">
        <f t="shared" ref="I199" ca="1" si="441">IF(OR(I196&lt;0.001,YEAR($C$12)&gt;$B194,AND(YEAR($C$12)=$B194,MONTH($C$12)&gt;I195)),0,IF($C$10="Lineair",$C$9,IF($C$10="Annuïteit",IFERROR((I198/(1-(1+$C$8/12)^-($C$7-H197)))-I198,0),0)))</f>
        <v>0</v>
      </c>
      <c r="J199" s="368">
        <f t="shared" ref="J199" ca="1" si="442">IF(OR(J196&lt;0.001,YEAR($C$12)&gt;$B194,AND(YEAR($C$12)=$B194,MONTH($C$12)&gt;J195)),0,IF($C$10="Lineair",$C$9,IF($C$10="Annuïteit",IFERROR((J198/(1-(1+$C$8/12)^-($C$7-I197)))-J198,0),0)))</f>
        <v>0</v>
      </c>
      <c r="K199" s="368">
        <f t="shared" ref="K199" ca="1" si="443">IF(OR(K196&lt;0.001,YEAR($C$12)&gt;$B194,AND(YEAR($C$12)=$B194,MONTH($C$12)&gt;K195)),0,IF($C$10="Lineair",$C$9,IF($C$10="Annuïteit",IFERROR((K198/(1-(1+$C$8/12)^-($C$7-J197)))-K198,0),0)))</f>
        <v>0</v>
      </c>
      <c r="L199" s="368">
        <f t="shared" ref="L199" ca="1" si="444">IF(OR(L196&lt;0.001,YEAR($C$12)&gt;$B194,AND(YEAR($C$12)=$B194,MONTH($C$12)&gt;L195)),0,IF($C$10="Lineair",$C$9,IF($C$10="Annuïteit",IFERROR((L198/(1-(1+$C$8/12)^-($C$7-K197)))-L198,0),0)))</f>
        <v>0</v>
      </c>
      <c r="M199" s="368">
        <f t="shared" ref="M199" ca="1" si="445">IF(OR(M196&lt;0.001,YEAR($C$12)&gt;$B194,AND(YEAR($C$12)=$B194,MONTH($C$12)&gt;M195)),0,IF($C$10="Lineair",$C$9,IF($C$10="Annuïteit",IFERROR((M198/(1-(1+$C$8/12)^-($C$7-L197)))-M198,0),0)))</f>
        <v>0</v>
      </c>
      <c r="N199" s="368">
        <f t="shared" ref="N199" ca="1" si="446">IF(OR(N196&lt;0.001,YEAR($C$12)&gt;$B194,AND(YEAR($C$12)=$B194,MONTH($C$12)&gt;N195)),0,IF($C$10="Lineair",$C$9,IF($C$10="Annuïteit",IFERROR((N198/(1-(1+$C$8/12)^-($C$7-M197)))-N198,0),0)))</f>
        <v>0</v>
      </c>
      <c r="O199" s="369">
        <f t="shared" ca="1" si="434"/>
        <v>0</v>
      </c>
    </row>
    <row r="200" spans="2:15" x14ac:dyDescent="0.25">
      <c r="B200" s="256" t="s">
        <v>101</v>
      </c>
      <c r="C200" s="372">
        <f t="shared" ref="C200:N200" ca="1" si="447">IF(AND(YEAR($C$11)=$B194,MONTH($C$11)=C195),$C$5,0)</f>
        <v>0</v>
      </c>
      <c r="D200" s="372">
        <f t="shared" ca="1" si="447"/>
        <v>0</v>
      </c>
      <c r="E200" s="372">
        <f t="shared" ca="1" si="447"/>
        <v>0</v>
      </c>
      <c r="F200" s="372">
        <f t="shared" ca="1" si="447"/>
        <v>0</v>
      </c>
      <c r="G200" s="372">
        <f t="shared" ca="1" si="447"/>
        <v>0</v>
      </c>
      <c r="H200" s="372">
        <f t="shared" ca="1" si="447"/>
        <v>0</v>
      </c>
      <c r="I200" s="372">
        <f t="shared" ca="1" si="447"/>
        <v>0</v>
      </c>
      <c r="J200" s="372">
        <f t="shared" ca="1" si="447"/>
        <v>0</v>
      </c>
      <c r="K200" s="372">
        <f t="shared" ca="1" si="447"/>
        <v>0</v>
      </c>
      <c r="L200" s="372">
        <f t="shared" ca="1" si="447"/>
        <v>0</v>
      </c>
      <c r="M200" s="372">
        <f t="shared" ca="1" si="447"/>
        <v>0</v>
      </c>
      <c r="N200" s="372">
        <f t="shared" ca="1" si="447"/>
        <v>0</v>
      </c>
      <c r="O200" s="369">
        <f t="shared" ca="1" si="434"/>
        <v>0</v>
      </c>
    </row>
    <row r="201" spans="2:15" x14ac:dyDescent="0.25">
      <c r="B201" s="373" t="s">
        <v>102</v>
      </c>
      <c r="C201" s="374">
        <f t="shared" ref="C201:N201" ca="1" si="448">SUM(C198:C200)</f>
        <v>0</v>
      </c>
      <c r="D201" s="374">
        <f t="shared" ca="1" si="448"/>
        <v>0</v>
      </c>
      <c r="E201" s="374">
        <f t="shared" ca="1" si="448"/>
        <v>0</v>
      </c>
      <c r="F201" s="374">
        <f t="shared" ca="1" si="448"/>
        <v>0</v>
      </c>
      <c r="G201" s="374">
        <f t="shared" ca="1" si="448"/>
        <v>0</v>
      </c>
      <c r="H201" s="374">
        <f t="shared" ca="1" si="448"/>
        <v>0</v>
      </c>
      <c r="I201" s="374">
        <f t="shared" ca="1" si="448"/>
        <v>0</v>
      </c>
      <c r="J201" s="374">
        <f t="shared" ca="1" si="448"/>
        <v>0</v>
      </c>
      <c r="K201" s="374">
        <f t="shared" ca="1" si="448"/>
        <v>0</v>
      </c>
      <c r="L201" s="374">
        <f t="shared" ca="1" si="448"/>
        <v>0</v>
      </c>
      <c r="M201" s="374">
        <f t="shared" ca="1" si="448"/>
        <v>0</v>
      </c>
      <c r="N201" s="374">
        <f t="shared" ca="1" si="448"/>
        <v>0</v>
      </c>
      <c r="O201" s="369">
        <f t="shared" ca="1" si="434"/>
        <v>0</v>
      </c>
    </row>
    <row r="202" spans="2:15" x14ac:dyDescent="0.25">
      <c r="B202" s="75"/>
      <c r="C202" s="75"/>
      <c r="D202" s="75"/>
      <c r="E202" s="75"/>
      <c r="F202" s="75"/>
      <c r="G202" s="75"/>
      <c r="H202" s="75"/>
      <c r="I202" s="75"/>
      <c r="J202" s="75"/>
      <c r="K202" s="75"/>
      <c r="L202" s="75"/>
      <c r="M202" s="75"/>
      <c r="N202" s="75"/>
      <c r="O202" s="75"/>
    </row>
    <row r="203" spans="2:15" x14ac:dyDescent="0.25">
      <c r="B203" s="351">
        <f t="shared" ref="B203" si="449">B194+1</f>
        <v>2044</v>
      </c>
      <c r="C203" s="247" t="s">
        <v>181</v>
      </c>
      <c r="D203" s="247" t="s">
        <v>182</v>
      </c>
      <c r="E203" s="247" t="s">
        <v>183</v>
      </c>
      <c r="F203" s="247" t="s">
        <v>184</v>
      </c>
      <c r="G203" s="247" t="s">
        <v>185</v>
      </c>
      <c r="H203" s="247" t="s">
        <v>186</v>
      </c>
      <c r="I203" s="247" t="s">
        <v>187</v>
      </c>
      <c r="J203" s="247" t="s">
        <v>188</v>
      </c>
      <c r="K203" s="247" t="s">
        <v>189</v>
      </c>
      <c r="L203" s="247" t="s">
        <v>190</v>
      </c>
      <c r="M203" s="247" t="s">
        <v>191</v>
      </c>
      <c r="N203" s="247" t="s">
        <v>192</v>
      </c>
      <c r="O203" s="303" t="s">
        <v>408</v>
      </c>
    </row>
    <row r="204" spans="2:15" x14ac:dyDescent="0.25">
      <c r="B204" s="259"/>
      <c r="C204" s="301">
        <v>1</v>
      </c>
      <c r="D204" s="301">
        <v>2</v>
      </c>
      <c r="E204" s="301">
        <v>3</v>
      </c>
      <c r="F204" s="301">
        <v>4</v>
      </c>
      <c r="G204" s="301">
        <v>5</v>
      </c>
      <c r="H204" s="301">
        <v>6</v>
      </c>
      <c r="I204" s="301">
        <v>7</v>
      </c>
      <c r="J204" s="301">
        <v>8</v>
      </c>
      <c r="K204" s="301">
        <v>9</v>
      </c>
      <c r="L204" s="301">
        <v>10</v>
      </c>
      <c r="M204" s="301">
        <v>11</v>
      </c>
      <c r="N204" s="301">
        <v>12</v>
      </c>
      <c r="O204" s="302"/>
    </row>
    <row r="205" spans="2:15" x14ac:dyDescent="0.25">
      <c r="B205" s="259" t="s">
        <v>98</v>
      </c>
      <c r="C205" s="368">
        <f t="shared" ref="C205" ca="1" si="450">IF(AND(YEAR($C$11)=$B203,MONTH($C$11)=C204),$C$4,N196-N199)</f>
        <v>0</v>
      </c>
      <c r="D205" s="368">
        <f t="shared" ref="D205" ca="1" si="451">IF(AND(YEAR($C$11)=$B203,MONTH($C$11)=D204),$C$4,C205-C208)</f>
        <v>0</v>
      </c>
      <c r="E205" s="368">
        <f t="shared" ref="E205" ca="1" si="452">IF(AND(YEAR($C$11)=$B203,MONTH($C$11)=E204),$C$4,D205-D208)</f>
        <v>0</v>
      </c>
      <c r="F205" s="368">
        <f t="shared" ref="F205" ca="1" si="453">IF(AND(YEAR($C$11)=$B203,MONTH($C$11)=F204),$C$4,E205-E208)</f>
        <v>0</v>
      </c>
      <c r="G205" s="368">
        <f t="shared" ref="G205" ca="1" si="454">IF(AND(YEAR($C$11)=$B203,MONTH($C$11)=G204),$C$4,F205-F208)</f>
        <v>0</v>
      </c>
      <c r="H205" s="368">
        <f t="shared" ref="H205" ca="1" si="455">IF(AND(YEAR($C$11)=$B203,MONTH($C$11)=H204),$C$4,G205-G208)</f>
        <v>0</v>
      </c>
      <c r="I205" s="368">
        <f t="shared" ref="I205" ca="1" si="456">IF(AND(YEAR($C$11)=$B203,MONTH($C$11)=I204),$C$4,H205-H208)</f>
        <v>0</v>
      </c>
      <c r="J205" s="368">
        <f t="shared" ref="J205" ca="1" si="457">IF(AND(YEAR($C$11)=$B203,MONTH($C$11)=J204),$C$4,I205-I208)</f>
        <v>0</v>
      </c>
      <c r="K205" s="368">
        <f t="shared" ref="K205" ca="1" si="458">IF(AND(YEAR($C$11)=$B203,MONTH($C$11)=K204),$C$4,J205-J208)</f>
        <v>0</v>
      </c>
      <c r="L205" s="368">
        <f t="shared" ref="L205" ca="1" si="459">IF(AND(YEAR($C$11)=$B203,MONTH($C$11)=L204),$C$4,K205-K208)</f>
        <v>0</v>
      </c>
      <c r="M205" s="368">
        <f t="shared" ref="M205" ca="1" si="460">IF(AND(YEAR($C$11)=$B203,MONTH($C$11)=M204),$C$4,L205-L208)</f>
        <v>0</v>
      </c>
      <c r="N205" s="368">
        <f t="shared" ref="N205" ca="1" si="461">IF(AND(YEAR($C$11)=$B203,MONTH($C$11)=N204),$C$4,M205-M208)</f>
        <v>0</v>
      </c>
      <c r="O205" s="369"/>
    </row>
    <row r="206" spans="2:15" x14ac:dyDescent="0.25">
      <c r="B206" s="259"/>
      <c r="C206" s="370">
        <f t="shared" ref="C206:N206" ca="1" si="462">C197+12</f>
        <v>246</v>
      </c>
      <c r="D206" s="370">
        <f t="shared" ca="1" si="462"/>
        <v>247</v>
      </c>
      <c r="E206" s="370">
        <f t="shared" ca="1" si="462"/>
        <v>248</v>
      </c>
      <c r="F206" s="370">
        <f t="shared" ca="1" si="462"/>
        <v>249</v>
      </c>
      <c r="G206" s="370">
        <f t="shared" ca="1" si="462"/>
        <v>250</v>
      </c>
      <c r="H206" s="370">
        <f t="shared" ca="1" si="462"/>
        <v>251</v>
      </c>
      <c r="I206" s="370">
        <f t="shared" ca="1" si="462"/>
        <v>252</v>
      </c>
      <c r="J206" s="370">
        <f t="shared" ca="1" si="462"/>
        <v>253</v>
      </c>
      <c r="K206" s="370">
        <f t="shared" ca="1" si="462"/>
        <v>254</v>
      </c>
      <c r="L206" s="370">
        <f t="shared" ca="1" si="462"/>
        <v>255</v>
      </c>
      <c r="M206" s="370">
        <f t="shared" ca="1" si="462"/>
        <v>256</v>
      </c>
      <c r="N206" s="370">
        <f t="shared" ca="1" si="462"/>
        <v>257</v>
      </c>
      <c r="O206" s="371"/>
    </row>
    <row r="207" spans="2:15" x14ac:dyDescent="0.25">
      <c r="B207" s="259" t="s">
        <v>99</v>
      </c>
      <c r="C207" s="368">
        <f t="shared" ref="C207:N207" ca="1" si="463">IF(C205&lt;0.001,0,($C$8/12)*C205)</f>
        <v>0</v>
      </c>
      <c r="D207" s="368">
        <f t="shared" ca="1" si="463"/>
        <v>0</v>
      </c>
      <c r="E207" s="368">
        <f t="shared" ca="1" si="463"/>
        <v>0</v>
      </c>
      <c r="F207" s="368">
        <f t="shared" ca="1" si="463"/>
        <v>0</v>
      </c>
      <c r="G207" s="368">
        <f t="shared" ca="1" si="463"/>
        <v>0</v>
      </c>
      <c r="H207" s="368">
        <f t="shared" ca="1" si="463"/>
        <v>0</v>
      </c>
      <c r="I207" s="368">
        <f t="shared" ca="1" si="463"/>
        <v>0</v>
      </c>
      <c r="J207" s="368">
        <f t="shared" ca="1" si="463"/>
        <v>0</v>
      </c>
      <c r="K207" s="368">
        <f t="shared" ca="1" si="463"/>
        <v>0</v>
      </c>
      <c r="L207" s="368">
        <f t="shared" ca="1" si="463"/>
        <v>0</v>
      </c>
      <c r="M207" s="368">
        <f t="shared" ca="1" si="463"/>
        <v>0</v>
      </c>
      <c r="N207" s="368">
        <f t="shared" ca="1" si="463"/>
        <v>0</v>
      </c>
      <c r="O207" s="369">
        <f t="shared" ref="O207:O210" ca="1" si="464">SUM(C207:N207)</f>
        <v>0</v>
      </c>
    </row>
    <row r="208" spans="2:15" x14ac:dyDescent="0.25">
      <c r="B208" s="259" t="s">
        <v>100</v>
      </c>
      <c r="C208" s="368">
        <f t="shared" ref="C208" ca="1" si="465">IF(OR(C205&lt;0.001,YEAR($C$12)&gt;$B203,AND(YEAR($C$12)=$B203,MONTH($C$12)&gt;C204)),0,IF($C$10="Lineair",$C$9,IF($C$10="Annuïteit",IFERROR((C207/(1-(1+$C$8/12)^-($C$7-N197)))-C207,0),0)))</f>
        <v>0</v>
      </c>
      <c r="D208" s="368">
        <f t="shared" ref="D208" ca="1" si="466">IF(OR(D205&lt;0.001,YEAR($C$12)&gt;$B203,AND(YEAR($C$12)=$B203,MONTH($C$12)&gt;D204)),0,IF($C$10="Lineair",$C$9,IF($C$10="Annuïteit",IFERROR((D207/(1-(1+$C$8/12)^-($C$7-C206)))-D207,0),0)))</f>
        <v>0</v>
      </c>
      <c r="E208" s="368">
        <f t="shared" ref="E208" ca="1" si="467">IF(OR(E205&lt;0.001,YEAR($C$12)&gt;$B203,AND(YEAR($C$12)=$B203,MONTH($C$12)&gt;E204)),0,IF($C$10="Lineair",$C$9,IF($C$10="Annuïteit",IFERROR((E207/(1-(1+$C$8/12)^-($C$7-D206)))-E207,0),0)))</f>
        <v>0</v>
      </c>
      <c r="F208" s="368">
        <f t="shared" ref="F208" ca="1" si="468">IF(OR(F205&lt;0.001,YEAR($C$12)&gt;$B203,AND(YEAR($C$12)=$B203,MONTH($C$12)&gt;F204)),0,IF($C$10="Lineair",$C$9,IF($C$10="Annuïteit",IFERROR((F207/(1-(1+$C$8/12)^-($C$7-E206)))-F207,0),0)))</f>
        <v>0</v>
      </c>
      <c r="G208" s="368">
        <f t="shared" ref="G208" ca="1" si="469">IF(OR(G205&lt;0.001,YEAR($C$12)&gt;$B203,AND(YEAR($C$12)=$B203,MONTH($C$12)&gt;G204)),0,IF($C$10="Lineair",$C$9,IF($C$10="Annuïteit",IFERROR((G207/(1-(1+$C$8/12)^-($C$7-F206)))-G207,0),0)))</f>
        <v>0</v>
      </c>
      <c r="H208" s="368">
        <f t="shared" ref="H208" ca="1" si="470">IF(OR(H205&lt;0.001,YEAR($C$12)&gt;$B203,AND(YEAR($C$12)=$B203,MONTH($C$12)&gt;H204)),0,IF($C$10="Lineair",$C$9,IF($C$10="Annuïteit",IFERROR((H207/(1-(1+$C$8/12)^-($C$7-G206)))-H207,0),0)))</f>
        <v>0</v>
      </c>
      <c r="I208" s="368">
        <f t="shared" ref="I208" ca="1" si="471">IF(OR(I205&lt;0.001,YEAR($C$12)&gt;$B203,AND(YEAR($C$12)=$B203,MONTH($C$12)&gt;I204)),0,IF($C$10="Lineair",$C$9,IF($C$10="Annuïteit",IFERROR((I207/(1-(1+$C$8/12)^-($C$7-H206)))-I207,0),0)))</f>
        <v>0</v>
      </c>
      <c r="J208" s="368">
        <f t="shared" ref="J208" ca="1" si="472">IF(OR(J205&lt;0.001,YEAR($C$12)&gt;$B203,AND(YEAR($C$12)=$B203,MONTH($C$12)&gt;J204)),0,IF($C$10="Lineair",$C$9,IF($C$10="Annuïteit",IFERROR((J207/(1-(1+$C$8/12)^-($C$7-I206)))-J207,0),0)))</f>
        <v>0</v>
      </c>
      <c r="K208" s="368">
        <f t="shared" ref="K208" ca="1" si="473">IF(OR(K205&lt;0.001,YEAR($C$12)&gt;$B203,AND(YEAR($C$12)=$B203,MONTH($C$12)&gt;K204)),0,IF($C$10="Lineair",$C$9,IF($C$10="Annuïteit",IFERROR((K207/(1-(1+$C$8/12)^-($C$7-J206)))-K207,0),0)))</f>
        <v>0</v>
      </c>
      <c r="L208" s="368">
        <f t="shared" ref="L208" ca="1" si="474">IF(OR(L205&lt;0.001,YEAR($C$12)&gt;$B203,AND(YEAR($C$12)=$B203,MONTH($C$12)&gt;L204)),0,IF($C$10="Lineair",$C$9,IF($C$10="Annuïteit",IFERROR((L207/(1-(1+$C$8/12)^-($C$7-K206)))-L207,0),0)))</f>
        <v>0</v>
      </c>
      <c r="M208" s="368">
        <f t="shared" ref="M208" ca="1" si="475">IF(OR(M205&lt;0.001,YEAR($C$12)&gt;$B203,AND(YEAR($C$12)=$B203,MONTH($C$12)&gt;M204)),0,IF($C$10="Lineair",$C$9,IF($C$10="Annuïteit",IFERROR((M207/(1-(1+$C$8/12)^-($C$7-L206)))-M207,0),0)))</f>
        <v>0</v>
      </c>
      <c r="N208" s="368">
        <f t="shared" ref="N208" ca="1" si="476">IF(OR(N205&lt;0.001,YEAR($C$12)&gt;$B203,AND(YEAR($C$12)=$B203,MONTH($C$12)&gt;N204)),0,IF($C$10="Lineair",$C$9,IF($C$10="Annuïteit",IFERROR((N207/(1-(1+$C$8/12)^-($C$7-M206)))-N207,0),0)))</f>
        <v>0</v>
      </c>
      <c r="O208" s="369">
        <f t="shared" ca="1" si="464"/>
        <v>0</v>
      </c>
    </row>
    <row r="209" spans="2:15" x14ac:dyDescent="0.25">
      <c r="B209" s="256" t="s">
        <v>101</v>
      </c>
      <c r="C209" s="372">
        <f t="shared" ref="C209:N209" ca="1" si="477">IF(AND(YEAR($C$11)=$B203,MONTH($C$11)=C204),$C$5,0)</f>
        <v>0</v>
      </c>
      <c r="D209" s="372">
        <f t="shared" ca="1" si="477"/>
        <v>0</v>
      </c>
      <c r="E209" s="372">
        <f t="shared" ca="1" si="477"/>
        <v>0</v>
      </c>
      <c r="F209" s="372">
        <f t="shared" ca="1" si="477"/>
        <v>0</v>
      </c>
      <c r="G209" s="372">
        <f t="shared" ca="1" si="477"/>
        <v>0</v>
      </c>
      <c r="H209" s="372">
        <f t="shared" ca="1" si="477"/>
        <v>0</v>
      </c>
      <c r="I209" s="372">
        <f t="shared" ca="1" si="477"/>
        <v>0</v>
      </c>
      <c r="J209" s="372">
        <f t="shared" ca="1" si="477"/>
        <v>0</v>
      </c>
      <c r="K209" s="372">
        <f t="shared" ca="1" si="477"/>
        <v>0</v>
      </c>
      <c r="L209" s="372">
        <f t="shared" ca="1" si="477"/>
        <v>0</v>
      </c>
      <c r="M209" s="372">
        <f t="shared" ca="1" si="477"/>
        <v>0</v>
      </c>
      <c r="N209" s="372">
        <f t="shared" ca="1" si="477"/>
        <v>0</v>
      </c>
      <c r="O209" s="369">
        <f t="shared" ca="1" si="464"/>
        <v>0</v>
      </c>
    </row>
    <row r="210" spans="2:15" x14ac:dyDescent="0.25">
      <c r="B210" s="373" t="s">
        <v>102</v>
      </c>
      <c r="C210" s="374">
        <f t="shared" ref="C210:N210" ca="1" si="478">SUM(C207:C209)</f>
        <v>0</v>
      </c>
      <c r="D210" s="374">
        <f t="shared" ca="1" si="478"/>
        <v>0</v>
      </c>
      <c r="E210" s="374">
        <f t="shared" ca="1" si="478"/>
        <v>0</v>
      </c>
      <c r="F210" s="374">
        <f t="shared" ca="1" si="478"/>
        <v>0</v>
      </c>
      <c r="G210" s="374">
        <f t="shared" ca="1" si="478"/>
        <v>0</v>
      </c>
      <c r="H210" s="374">
        <f t="shared" ca="1" si="478"/>
        <v>0</v>
      </c>
      <c r="I210" s="374">
        <f t="shared" ca="1" si="478"/>
        <v>0</v>
      </c>
      <c r="J210" s="374">
        <f t="shared" ca="1" si="478"/>
        <v>0</v>
      </c>
      <c r="K210" s="374">
        <f t="shared" ca="1" si="478"/>
        <v>0</v>
      </c>
      <c r="L210" s="374">
        <f t="shared" ca="1" si="478"/>
        <v>0</v>
      </c>
      <c r="M210" s="374">
        <f t="shared" ca="1" si="478"/>
        <v>0</v>
      </c>
      <c r="N210" s="374">
        <f t="shared" ca="1" si="478"/>
        <v>0</v>
      </c>
      <c r="O210" s="369">
        <f t="shared" ca="1" si="464"/>
        <v>0</v>
      </c>
    </row>
    <row r="211" spans="2:15" x14ac:dyDescent="0.25">
      <c r="B211" s="75"/>
      <c r="C211" s="75"/>
      <c r="D211" s="75"/>
      <c r="E211" s="75"/>
      <c r="F211" s="75"/>
      <c r="G211" s="75"/>
      <c r="H211" s="75"/>
      <c r="I211" s="75"/>
      <c r="J211" s="75"/>
      <c r="K211" s="75"/>
      <c r="L211" s="75"/>
      <c r="M211" s="75"/>
      <c r="N211" s="75"/>
      <c r="O211" s="75"/>
    </row>
  </sheetData>
  <sheetProtection algorithmName="SHA-512" hashValue="x+eqI0WNfYzP6MEm+M+1AKlNKo53Dws/xZQ8n+tzKOHVP+V29qdBHX2A6MaFY1p3YEy57bhJ/7DuRmwczcK23A==" saltValue="OOZpA9xP6f3poLszeMdbVA==" spinCount="100000" sheet="1" objects="1" scenarios="1" formatColumns="0"/>
  <customSheetViews>
    <customSheetView guid="{E8D2897D-F373-4833-ABA9-6A8879B86992}" hiddenRows="1">
      <selection activeCell="C9" sqref="C9"/>
      <rowBreaks count="1" manualBreakCount="1">
        <brk id="47" min="1" max="17" man="1"/>
      </rowBreaks>
      <pageMargins left="0.7" right="0.7" top="0.75" bottom="0.75" header="0.3" footer="0.3"/>
      <pageSetup paperSize="9" scale="60" orientation="landscape" r:id="rId1"/>
    </customSheetView>
  </customSheetViews>
  <mergeCells count="7">
    <mergeCell ref="E4:G4"/>
    <mergeCell ref="E11:G11"/>
    <mergeCell ref="E12:G12"/>
    <mergeCell ref="E8:G8"/>
    <mergeCell ref="E7:G7"/>
    <mergeCell ref="E5:G5"/>
    <mergeCell ref="E6:G6"/>
  </mergeCells>
  <pageMargins left="0.70866141732283472" right="0.70866141732283472" top="0.74803149606299213" bottom="0.74803149606299213" header="0.31496062992125984" footer="0.31496062992125984"/>
  <pageSetup paperSize="9" scale="64" fitToHeight="0" orientation="landscape"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91dead7-fb7e-4be5-bdd3-7d54b5c756b9">
      <Terms xmlns="http://schemas.microsoft.com/office/infopath/2007/PartnerControls"/>
    </lcf76f155ced4ddcb4097134ff3c332f>
    <TaxCatchAll xmlns="36589b95-514b-41ff-be61-afc861c9d6a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78E6B882FA864E9419F9CFAC674310" ma:contentTypeVersion="16" ma:contentTypeDescription="Een nieuw document maken." ma:contentTypeScope="" ma:versionID="ba644ef63375258bacd08a0300dac875">
  <xsd:schema xmlns:xsd="http://www.w3.org/2001/XMLSchema" xmlns:xs="http://www.w3.org/2001/XMLSchema" xmlns:p="http://schemas.microsoft.com/office/2006/metadata/properties" xmlns:ns2="e91dead7-fb7e-4be5-bdd3-7d54b5c756b9" xmlns:ns3="36589b95-514b-41ff-be61-afc861c9d6a2" targetNamespace="http://schemas.microsoft.com/office/2006/metadata/properties" ma:root="true" ma:fieldsID="a313793b0cd3aa71a1ac54312c5f2577" ns2:_="" ns3:_="">
    <xsd:import namespace="e91dead7-fb7e-4be5-bdd3-7d54b5c756b9"/>
    <xsd:import namespace="36589b95-514b-41ff-be61-afc861c9d6a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1dead7-fb7e-4be5-bdd3-7d54b5c756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54dd0181-3f1a-4d54-858e-ff4e9e5c2f5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6589b95-514b-41ff-be61-afc861c9d6a2"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57433639-3f76-4a9e-babe-45ee7951dafb}" ma:internalName="TaxCatchAll" ma:showField="CatchAllData" ma:web="36589b95-514b-41ff-be61-afc861c9d6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3A48DC-6082-4CC8-9059-6947E1D72569}">
  <ds:schemaRefs>
    <ds:schemaRef ds:uri="36589b95-514b-41ff-be61-afc861c9d6a2"/>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http://purl.org/dc/dcmitype/"/>
    <ds:schemaRef ds:uri="e91dead7-fb7e-4be5-bdd3-7d54b5c756b9"/>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49BE730-E6BF-4485-9123-BE267D525888}">
  <ds:schemaRefs>
    <ds:schemaRef ds:uri="http://schemas.microsoft.com/sharepoint/v3/contenttype/forms"/>
  </ds:schemaRefs>
</ds:datastoreItem>
</file>

<file path=customXml/itemProps3.xml><?xml version="1.0" encoding="utf-8"?>
<ds:datastoreItem xmlns:ds="http://schemas.openxmlformats.org/officeDocument/2006/customXml" ds:itemID="{EAB5784E-99AB-4A4D-950D-7FA9CCF6DE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1dead7-fb7e-4be5-bdd3-7d54b5c756b9"/>
    <ds:schemaRef ds:uri="36589b95-514b-41ff-be61-afc861c9d6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24</vt:i4>
      </vt:variant>
    </vt:vector>
  </HeadingPairs>
  <TitlesOfParts>
    <vt:vector size="37" baseType="lpstr">
      <vt:lpstr>Intro</vt:lpstr>
      <vt:lpstr>Investering &amp; Financiering</vt:lpstr>
      <vt:lpstr>Balans</vt:lpstr>
      <vt:lpstr>Privé</vt:lpstr>
      <vt:lpstr>Verkoop</vt:lpstr>
      <vt:lpstr>Inkoop</vt:lpstr>
      <vt:lpstr>Liquiditeit</vt:lpstr>
      <vt:lpstr>Exploitatie</vt:lpstr>
      <vt:lpstr>Qredits maandlasten</vt:lpstr>
      <vt:lpstr>Begrippenlijst Belastingdienst</vt:lpstr>
      <vt:lpstr>Schema</vt:lpstr>
      <vt:lpstr>IB</vt:lpstr>
      <vt:lpstr>Dropdowns</vt:lpstr>
      <vt:lpstr>Balans!Afdrukbereik</vt:lpstr>
      <vt:lpstr>Exploitatie!Afdrukbereik</vt:lpstr>
      <vt:lpstr>Inkoop!Afdrukbereik</vt:lpstr>
      <vt:lpstr>Intro!Afdrukbereik</vt:lpstr>
      <vt:lpstr>'Investering &amp; Financiering'!Afdrukbereik</vt:lpstr>
      <vt:lpstr>Liquiditeit!Afdrukbereik</vt:lpstr>
      <vt:lpstr>Privé!Afdrukbereik</vt:lpstr>
      <vt:lpstr>'Qredits maandlasten'!Afdrukbereik</vt:lpstr>
      <vt:lpstr>Verkoop!Afdrukbereik</vt:lpstr>
      <vt:lpstr>Inkoop!Afdruktitels</vt:lpstr>
      <vt:lpstr>Liquiditeit!Afdruktitels</vt:lpstr>
      <vt:lpstr>Privé!Afdruktitels</vt:lpstr>
      <vt:lpstr>'Qredits maandlasten'!Afdruktitels</vt:lpstr>
      <vt:lpstr>Verkoop!Afdruktitels</vt:lpstr>
      <vt:lpstr>Aflosmethode</vt:lpstr>
      <vt:lpstr>Betalen</vt:lpstr>
      <vt:lpstr>BTW</vt:lpstr>
      <vt:lpstr>Grace_Period</vt:lpstr>
      <vt:lpstr>Ja_Nee</vt:lpstr>
      <vt:lpstr>Looptijd</vt:lpstr>
      <vt:lpstr>Meewerkaftrek</vt:lpstr>
      <vt:lpstr>Ondernemers</vt:lpstr>
      <vt:lpstr>Periodiek</vt:lpstr>
      <vt:lpstr>Rechtsvorm</vt:lpstr>
    </vt:vector>
  </TitlesOfParts>
  <Company>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Financieel Plan Jamic</dc:title>
  <dc:creator>samdreas</dc:creator>
  <cp:lastModifiedBy>Lennart Boeringa</cp:lastModifiedBy>
  <cp:lastPrinted>2015-10-15T11:02:37Z</cp:lastPrinted>
  <dcterms:created xsi:type="dcterms:W3CDTF">2005-05-11T20:01:43Z</dcterms:created>
  <dcterms:modified xsi:type="dcterms:W3CDTF">2023-07-17T07:40:46Z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0x0101006B78E6B882FA864E9419F9CFAC674310</vt:lpwstr>
  </property>
  <property fmtid="{D5CDD505-2E9C-101B-9397-08002B2CF9AE}" pid="3" name="MediaServiceImageTags">
    <vt:lpwstr/>
  </property>
</Properties>
</file>